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6.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2940" yWindow="-135" windowWidth="15195" windowHeight="6465" tabRatio="302" firstSheet="5" activeTab="5"/>
  </bookViews>
  <sheets>
    <sheet name="REAL" sheetId="7" state="hidden" r:id="rId1"/>
    <sheet name="REAL-BCCPA" sheetId="22" state="hidden" r:id="rId2"/>
    <sheet name="PRESUM" sheetId="16" state="hidden" r:id="rId3"/>
    <sheet name="ANEXO IV" sheetId="17" state="hidden" r:id="rId4"/>
    <sheet name="ANEXO III" sheetId="18" state="hidden" r:id="rId5"/>
    <sheet name="PCFP" sheetId="20" r:id="rId6"/>
    <sheet name="40% Insalub" sheetId="21" state="hidden" r:id="rId7"/>
    <sheet name="REAL-C-VINCULADA 40% 1 serv" sheetId="23" state="hidden" r:id="rId8"/>
    <sheet name="REAL-C-VINCULADA 20% 2 serv" sheetId="25" state="hidden" r:id="rId9"/>
    <sheet name="Plan.Auxiliar" sheetId="24" r:id="rId10"/>
  </sheets>
  <definedNames>
    <definedName name="_xlnm.Print_Area" localSheetId="6">'40% Insalub'!$A$1:$I$336</definedName>
    <definedName name="_xlnm.Print_Area" localSheetId="4">'ANEXO III'!$A$1:$I$337</definedName>
    <definedName name="_xlnm.Print_Area" localSheetId="3">'ANEXO IV'!$A$1:$I$336</definedName>
    <definedName name="_xlnm.Print_Area" localSheetId="2">PRESUM!$A$1:$I$336</definedName>
    <definedName name="_xlnm.Print_Area" localSheetId="0">REAL!$A$1:$I$336</definedName>
    <definedName name="_xlnm.Print_Area" localSheetId="1">'REAL-BCCPA'!$A$1:$I$337</definedName>
  </definedNames>
  <calcPr calcId="125725"/>
</workbook>
</file>

<file path=xl/calcChain.xml><?xml version="1.0" encoding="utf-8"?>
<calcChain xmlns="http://schemas.openxmlformats.org/spreadsheetml/2006/main">
  <c r="H338" i="20"/>
  <c r="E306"/>
  <c r="D235"/>
  <c r="J86" l="1"/>
  <c r="J84"/>
  <c r="J83"/>
  <c r="J82"/>
  <c r="J81"/>
  <c r="J75"/>
  <c r="J62"/>
  <c r="I37"/>
  <c r="I24"/>
  <c r="I32"/>
  <c r="J68"/>
  <c r="J48" i="24" l="1"/>
  <c r="J40"/>
  <c r="J67"/>
  <c r="J97"/>
  <c r="C3"/>
  <c r="C7"/>
  <c r="C6"/>
  <c r="C5"/>
  <c r="C4"/>
  <c r="J57"/>
  <c r="J58"/>
  <c r="J59"/>
  <c r="J60"/>
  <c r="J61"/>
  <c r="J62"/>
  <c r="J63"/>
  <c r="J64"/>
  <c r="J65"/>
  <c r="J56"/>
  <c r="J75"/>
  <c r="J95"/>
  <c r="J94"/>
  <c r="J93"/>
  <c r="J92"/>
  <c r="J91"/>
  <c r="J90"/>
  <c r="J89"/>
  <c r="J88"/>
  <c r="J87"/>
  <c r="J86"/>
  <c r="J85"/>
  <c r="J84"/>
  <c r="J83"/>
  <c r="J82"/>
  <c r="J81"/>
  <c r="J80"/>
  <c r="J79"/>
  <c r="J78"/>
  <c r="J77"/>
  <c r="J76"/>
  <c r="J74"/>
  <c r="J36"/>
  <c r="J35"/>
  <c r="J34"/>
  <c r="J33"/>
  <c r="J16"/>
  <c r="J66" l="1"/>
  <c r="J38"/>
  <c r="J37"/>
  <c r="J24"/>
  <c r="J47"/>
  <c r="J23"/>
  <c r="J22"/>
  <c r="J21"/>
  <c r="J20"/>
  <c r="J19"/>
  <c r="J18"/>
  <c r="J17"/>
  <c r="J39" l="1"/>
  <c r="J25"/>
  <c r="J26" s="1"/>
  <c r="H330" i="20" l="1"/>
  <c r="E216" l="1"/>
  <c r="E215"/>
  <c r="B216"/>
  <c r="B215"/>
  <c r="I216"/>
  <c r="D262" l="1"/>
  <c r="D270"/>
  <c r="I215"/>
  <c r="G292" s="1"/>
  <c r="D231"/>
  <c r="D266"/>
  <c r="D298"/>
  <c r="C292" l="1"/>
  <c r="G291"/>
  <c r="I291" s="1"/>
  <c r="D258"/>
  <c r="D223"/>
  <c r="D254"/>
  <c r="G276"/>
  <c r="D250" l="1"/>
  <c r="G281"/>
  <c r="I281" s="1"/>
  <c r="C282"/>
  <c r="G282"/>
  <c r="C276"/>
  <c r="G275"/>
  <c r="I275" s="1"/>
  <c r="D227" l="1"/>
  <c r="D239"/>
  <c r="D243"/>
  <c r="G285"/>
  <c r="I285" s="1"/>
  <c r="G286"/>
  <c r="C286"/>
  <c r="J60" l="1"/>
  <c r="J65" s="1"/>
  <c r="J174" l="1"/>
  <c r="I163" l="1"/>
  <c r="A65" l="1"/>
  <c r="A68"/>
  <c r="J61" l="1"/>
  <c r="J126" l="1"/>
  <c r="J128"/>
  <c r="J106"/>
  <c r="J123"/>
  <c r="J120"/>
  <c r="J121"/>
  <c r="J92"/>
  <c r="J93"/>
  <c r="L311" i="25"/>
  <c r="L313"/>
  <c r="H15"/>
  <c r="F279"/>
  <c r="G309"/>
  <c r="G303"/>
  <c r="F303"/>
  <c r="F297"/>
  <c r="F296"/>
  <c r="F295"/>
  <c r="F294"/>
  <c r="F291"/>
  <c r="F290"/>
  <c r="F289"/>
  <c r="F288"/>
  <c r="F287"/>
  <c r="F286"/>
  <c r="F283"/>
  <c r="F282"/>
  <c r="G282"/>
  <c r="F281"/>
  <c r="G280"/>
  <c r="F280"/>
  <c r="F278"/>
  <c r="G272"/>
  <c r="F264"/>
  <c r="F263"/>
  <c r="H263"/>
  <c r="F258"/>
  <c r="F257"/>
  <c r="F254"/>
  <c r="F253"/>
  <c r="F250"/>
  <c r="F249"/>
  <c r="G242"/>
  <c r="G238"/>
  <c r="G234"/>
  <c r="G230"/>
  <c r="G226"/>
  <c r="G222"/>
  <c r="G214"/>
  <c r="G206"/>
  <c r="I168"/>
  <c r="H157"/>
  <c r="N111"/>
  <c r="L101"/>
  <c r="K101"/>
  <c r="H95"/>
  <c r="H93"/>
  <c r="I81"/>
  <c r="I68"/>
  <c r="I64"/>
  <c r="I57"/>
  <c r="I58"/>
  <c r="I56"/>
  <c r="I61"/>
  <c r="I71"/>
  <c r="I167"/>
  <c r="H36"/>
  <c r="F299"/>
  <c r="F300"/>
  <c r="H33"/>
  <c r="H28"/>
  <c r="F292"/>
  <c r="H20"/>
  <c r="H41"/>
  <c r="G309" i="23"/>
  <c r="G303"/>
  <c r="F303"/>
  <c r="F296"/>
  <c r="F295"/>
  <c r="F294"/>
  <c r="F291"/>
  <c r="F290"/>
  <c r="F289"/>
  <c r="F288"/>
  <c r="F287"/>
  <c r="F286"/>
  <c r="F283"/>
  <c r="F282"/>
  <c r="G282"/>
  <c r="F281"/>
  <c r="G280"/>
  <c r="F280"/>
  <c r="F279"/>
  <c r="F278"/>
  <c r="G272"/>
  <c r="F264"/>
  <c r="F263"/>
  <c r="H263"/>
  <c r="F258"/>
  <c r="F257"/>
  <c r="F254"/>
  <c r="F253"/>
  <c r="F250"/>
  <c r="F249"/>
  <c r="G242"/>
  <c r="G238"/>
  <c r="G234"/>
  <c r="G230"/>
  <c r="G226"/>
  <c r="G222"/>
  <c r="G214"/>
  <c r="G206"/>
  <c r="I168"/>
  <c r="H157"/>
  <c r="N111"/>
  <c r="L101"/>
  <c r="K101"/>
  <c r="H95"/>
  <c r="H93"/>
  <c r="I81"/>
  <c r="I68"/>
  <c r="I64"/>
  <c r="I57"/>
  <c r="I56"/>
  <c r="I61"/>
  <c r="I71"/>
  <c r="I167"/>
  <c r="H36"/>
  <c r="F299"/>
  <c r="F300"/>
  <c r="H33"/>
  <c r="F297"/>
  <c r="H28"/>
  <c r="F292"/>
  <c r="H20"/>
  <c r="J173" i="20"/>
  <c r="G311"/>
  <c r="H20" i="21"/>
  <c r="J27"/>
  <c r="L27"/>
  <c r="M27"/>
  <c r="H36"/>
  <c r="H44"/>
  <c r="I59"/>
  <c r="K69"/>
  <c r="L70"/>
  <c r="K70"/>
  <c r="I72"/>
  <c r="K73"/>
  <c r="I76"/>
  <c r="K76"/>
  <c r="K77"/>
  <c r="I89"/>
  <c r="H101"/>
  <c r="H103"/>
  <c r="K114"/>
  <c r="H165"/>
  <c r="I176"/>
  <c r="G209"/>
  <c r="G210"/>
  <c r="D287"/>
  <c r="G287"/>
  <c r="G217"/>
  <c r="G218"/>
  <c r="G222"/>
  <c r="G225"/>
  <c r="G226"/>
  <c r="D291"/>
  <c r="G230"/>
  <c r="G231"/>
  <c r="G234"/>
  <c r="G235"/>
  <c r="D295"/>
  <c r="G236"/>
  <c r="G238"/>
  <c r="G239"/>
  <c r="G240"/>
  <c r="G242"/>
  <c r="G244"/>
  <c r="G243"/>
  <c r="G246"/>
  <c r="G248"/>
  <c r="G247"/>
  <c r="G250"/>
  <c r="G251"/>
  <c r="D299"/>
  <c r="F257"/>
  <c r="F258"/>
  <c r="H258"/>
  <c r="H259"/>
  <c r="F261"/>
  <c r="F262"/>
  <c r="H262"/>
  <c r="D303"/>
  <c r="G303"/>
  <c r="F265"/>
  <c r="F266"/>
  <c r="H266"/>
  <c r="D304"/>
  <c r="G304"/>
  <c r="F271"/>
  <c r="H271"/>
  <c r="F272"/>
  <c r="H272"/>
  <c r="D307"/>
  <c r="G307"/>
  <c r="G308"/>
  <c r="G280"/>
  <c r="F286"/>
  <c r="F287"/>
  <c r="F288"/>
  <c r="D289"/>
  <c r="G289"/>
  <c r="F289"/>
  <c r="F290"/>
  <c r="G290"/>
  <c r="J290"/>
  <c r="F291"/>
  <c r="G291"/>
  <c r="F292"/>
  <c r="D294"/>
  <c r="G294"/>
  <c r="G300"/>
  <c r="F294"/>
  <c r="F295"/>
  <c r="G295"/>
  <c r="D296"/>
  <c r="F296"/>
  <c r="G296"/>
  <c r="D297"/>
  <c r="G297"/>
  <c r="F297"/>
  <c r="D298"/>
  <c r="G298"/>
  <c r="F298"/>
  <c r="F299"/>
  <c r="G299"/>
  <c r="K299"/>
  <c r="F300"/>
  <c r="D302"/>
  <c r="G302"/>
  <c r="F302"/>
  <c r="F303"/>
  <c r="F304"/>
  <c r="F305"/>
  <c r="F307"/>
  <c r="F308"/>
  <c r="F316"/>
  <c r="F311"/>
  <c r="G311"/>
  <c r="F313"/>
  <c r="G313"/>
  <c r="G314"/>
  <c r="G320"/>
  <c r="H20" i="18"/>
  <c r="J27"/>
  <c r="L27"/>
  <c r="M27"/>
  <c r="H28"/>
  <c r="H33"/>
  <c r="H36"/>
  <c r="I59"/>
  <c r="I61"/>
  <c r="I66"/>
  <c r="I69"/>
  <c r="K69"/>
  <c r="K70"/>
  <c r="L70"/>
  <c r="I72"/>
  <c r="I76"/>
  <c r="I79"/>
  <c r="I176"/>
  <c r="I89"/>
  <c r="H103"/>
  <c r="K114"/>
  <c r="H166"/>
  <c r="I177"/>
  <c r="G215"/>
  <c r="G223"/>
  <c r="G231"/>
  <c r="G235"/>
  <c r="G239"/>
  <c r="G243"/>
  <c r="G247"/>
  <c r="G251"/>
  <c r="F258"/>
  <c r="F259"/>
  <c r="F262"/>
  <c r="F263"/>
  <c r="F266"/>
  <c r="F267"/>
  <c r="F272"/>
  <c r="H272"/>
  <c r="F273"/>
  <c r="G281"/>
  <c r="F287"/>
  <c r="F288"/>
  <c r="F289"/>
  <c r="G289"/>
  <c r="F290"/>
  <c r="F291"/>
  <c r="G291"/>
  <c r="F292"/>
  <c r="F293"/>
  <c r="F295"/>
  <c r="F296"/>
  <c r="F297"/>
  <c r="F298"/>
  <c r="F299"/>
  <c r="F300"/>
  <c r="K300"/>
  <c r="F301"/>
  <c r="F303"/>
  <c r="F304"/>
  <c r="F305"/>
  <c r="F306"/>
  <c r="F308"/>
  <c r="F309"/>
  <c r="F317"/>
  <c r="F312"/>
  <c r="G312"/>
  <c r="F314"/>
  <c r="G314"/>
  <c r="G315"/>
  <c r="G321"/>
  <c r="H20" i="17"/>
  <c r="J27"/>
  <c r="L27"/>
  <c r="M27"/>
  <c r="H28"/>
  <c r="F300"/>
  <c r="H33"/>
  <c r="H36"/>
  <c r="H44"/>
  <c r="I59"/>
  <c r="I61"/>
  <c r="I66"/>
  <c r="I69"/>
  <c r="I79"/>
  <c r="K69"/>
  <c r="K70"/>
  <c r="L70"/>
  <c r="I72"/>
  <c r="I76"/>
  <c r="I89"/>
  <c r="I95"/>
  <c r="H101"/>
  <c r="I101"/>
  <c r="H103"/>
  <c r="K114"/>
  <c r="I132"/>
  <c r="I133"/>
  <c r="H165"/>
  <c r="I175"/>
  <c r="I176"/>
  <c r="G214"/>
  <c r="G222"/>
  <c r="G230"/>
  <c r="G234"/>
  <c r="G238"/>
  <c r="G242"/>
  <c r="G246"/>
  <c r="G250"/>
  <c r="F257"/>
  <c r="F258"/>
  <c r="F261"/>
  <c r="F262"/>
  <c r="F265"/>
  <c r="F266"/>
  <c r="F271"/>
  <c r="H271"/>
  <c r="F272"/>
  <c r="G280"/>
  <c r="F286"/>
  <c r="F287"/>
  <c r="F288"/>
  <c r="G288"/>
  <c r="F289"/>
  <c r="F290"/>
  <c r="G290"/>
  <c r="F291"/>
  <c r="F292"/>
  <c r="F294"/>
  <c r="F295"/>
  <c r="F296"/>
  <c r="F297"/>
  <c r="F298"/>
  <c r="F299"/>
  <c r="K299"/>
  <c r="F302"/>
  <c r="F303"/>
  <c r="F304"/>
  <c r="F305"/>
  <c r="F307"/>
  <c r="F308"/>
  <c r="F311"/>
  <c r="G311"/>
  <c r="F313"/>
  <c r="G313"/>
  <c r="G314"/>
  <c r="G320"/>
  <c r="H20" i="16"/>
  <c r="J27"/>
  <c r="L27"/>
  <c r="M27"/>
  <c r="H28"/>
  <c r="H33"/>
  <c r="H36"/>
  <c r="F307"/>
  <c r="I59"/>
  <c r="I61"/>
  <c r="I66"/>
  <c r="I69"/>
  <c r="K69"/>
  <c r="K70"/>
  <c r="L70"/>
  <c r="I72"/>
  <c r="I76"/>
  <c r="I79"/>
  <c r="I175"/>
  <c r="I89"/>
  <c r="I176"/>
  <c r="H101"/>
  <c r="H103"/>
  <c r="K114"/>
  <c r="H165"/>
  <c r="G214"/>
  <c r="G222"/>
  <c r="G230"/>
  <c r="G234"/>
  <c r="G238"/>
  <c r="G242"/>
  <c r="G246"/>
  <c r="G250"/>
  <c r="F257"/>
  <c r="F258"/>
  <c r="F261"/>
  <c r="F262"/>
  <c r="F265"/>
  <c r="F266"/>
  <c r="F271"/>
  <c r="H271"/>
  <c r="F272"/>
  <c r="G280"/>
  <c r="F286"/>
  <c r="F287"/>
  <c r="F288"/>
  <c r="G288"/>
  <c r="F289"/>
  <c r="F290"/>
  <c r="G290"/>
  <c r="F291"/>
  <c r="F292"/>
  <c r="F294"/>
  <c r="F295"/>
  <c r="F296"/>
  <c r="F297"/>
  <c r="F298"/>
  <c r="F299"/>
  <c r="K299"/>
  <c r="F300"/>
  <c r="F302"/>
  <c r="F303"/>
  <c r="F304"/>
  <c r="F305"/>
  <c r="F308"/>
  <c r="F311"/>
  <c r="G311"/>
  <c r="F313"/>
  <c r="G313"/>
  <c r="G314"/>
  <c r="F316"/>
  <c r="G320"/>
  <c r="H20" i="7"/>
  <c r="H44"/>
  <c r="J27"/>
  <c r="L27"/>
  <c r="M27"/>
  <c r="H28"/>
  <c r="F300"/>
  <c r="H33"/>
  <c r="H36"/>
  <c r="I59"/>
  <c r="I69"/>
  <c r="I79"/>
  <c r="I175"/>
  <c r="K69"/>
  <c r="L70"/>
  <c r="K70"/>
  <c r="I72"/>
  <c r="K73"/>
  <c r="K77"/>
  <c r="I76"/>
  <c r="K76"/>
  <c r="I89"/>
  <c r="H101"/>
  <c r="H103"/>
  <c r="K114"/>
  <c r="H165"/>
  <c r="I176"/>
  <c r="G214"/>
  <c r="G222"/>
  <c r="G230"/>
  <c r="G234"/>
  <c r="G238"/>
  <c r="G242"/>
  <c r="G246"/>
  <c r="G250"/>
  <c r="F257"/>
  <c r="F258"/>
  <c r="F261"/>
  <c r="F262"/>
  <c r="F265"/>
  <c r="F266"/>
  <c r="F271"/>
  <c r="H271"/>
  <c r="F272"/>
  <c r="G280"/>
  <c r="F286"/>
  <c r="F287"/>
  <c r="F288"/>
  <c r="G288"/>
  <c r="F289"/>
  <c r="F290"/>
  <c r="G290"/>
  <c r="F291"/>
  <c r="F294"/>
  <c r="F295"/>
  <c r="F296"/>
  <c r="F297"/>
  <c r="F298"/>
  <c r="F299"/>
  <c r="K299"/>
  <c r="F302"/>
  <c r="F303"/>
  <c r="F304"/>
  <c r="F305"/>
  <c r="F307"/>
  <c r="F308"/>
  <c r="F311"/>
  <c r="G311"/>
  <c r="F313"/>
  <c r="G313"/>
  <c r="G314"/>
  <c r="G320"/>
  <c r="H20" i="22"/>
  <c r="J27"/>
  <c r="L27"/>
  <c r="M27"/>
  <c r="H28"/>
  <c r="F301"/>
  <c r="H33"/>
  <c r="H36"/>
  <c r="H44"/>
  <c r="I59"/>
  <c r="I61"/>
  <c r="I66"/>
  <c r="I69"/>
  <c r="K69"/>
  <c r="K70"/>
  <c r="L70"/>
  <c r="I72"/>
  <c r="K73"/>
  <c r="I76"/>
  <c r="K76"/>
  <c r="K77"/>
  <c r="I89"/>
  <c r="H101"/>
  <c r="H103"/>
  <c r="K114"/>
  <c r="K131"/>
  <c r="K132"/>
  <c r="H166"/>
  <c r="I177"/>
  <c r="G215"/>
  <c r="G223"/>
  <c r="G231"/>
  <c r="G235"/>
  <c r="G239"/>
  <c r="G243"/>
  <c r="G247"/>
  <c r="G251"/>
  <c r="F258"/>
  <c r="F259"/>
  <c r="F262"/>
  <c r="F263"/>
  <c r="F266"/>
  <c r="F267"/>
  <c r="F272"/>
  <c r="H272"/>
  <c r="F273"/>
  <c r="G281"/>
  <c r="F287"/>
  <c r="F288"/>
  <c r="F289"/>
  <c r="G289"/>
  <c r="F290"/>
  <c r="F291"/>
  <c r="G291"/>
  <c r="F292"/>
  <c r="F293"/>
  <c r="F317"/>
  <c r="F295"/>
  <c r="F296"/>
  <c r="F297"/>
  <c r="F298"/>
  <c r="F299"/>
  <c r="F300"/>
  <c r="K300"/>
  <c r="F303"/>
  <c r="F304"/>
  <c r="F305"/>
  <c r="F306"/>
  <c r="F308"/>
  <c r="F309"/>
  <c r="F312"/>
  <c r="G312"/>
  <c r="F314"/>
  <c r="G314"/>
  <c r="G315"/>
  <c r="G321"/>
  <c r="G319" i="20"/>
  <c r="G324"/>
  <c r="I40"/>
  <c r="I98"/>
  <c r="J98" s="1"/>
  <c r="H249"/>
  <c r="H253"/>
  <c r="H257"/>
  <c r="H261"/>
  <c r="H265"/>
  <c r="H269"/>
  <c r="G305"/>
  <c r="G306"/>
  <c r="G307"/>
  <c r="G308"/>
  <c r="G309"/>
  <c r="G310"/>
  <c r="G313"/>
  <c r="G314"/>
  <c r="G315"/>
  <c r="G316"/>
  <c r="G317"/>
  <c r="G318"/>
  <c r="G321"/>
  <c r="G322"/>
  <c r="G323"/>
  <c r="G330"/>
  <c r="H336"/>
  <c r="I95" i="16"/>
  <c r="I99"/>
  <c r="I102"/>
  <c r="I116"/>
  <c r="I132"/>
  <c r="I96"/>
  <c r="I100"/>
  <c r="I133"/>
  <c r="I101"/>
  <c r="I98"/>
  <c r="I97"/>
  <c r="I130"/>
  <c r="I124"/>
  <c r="I125"/>
  <c r="I134"/>
  <c r="I174"/>
  <c r="I109"/>
  <c r="I110"/>
  <c r="I131"/>
  <c r="I96" i="22"/>
  <c r="I97"/>
  <c r="I124"/>
  <c r="I125"/>
  <c r="I175"/>
  <c r="I100"/>
  <c r="I99"/>
  <c r="I116"/>
  <c r="J76"/>
  <c r="I102"/>
  <c r="I109"/>
  <c r="I110"/>
  <c r="I98"/>
  <c r="I95"/>
  <c r="I101"/>
  <c r="I100" i="18"/>
  <c r="I103"/>
  <c r="I141"/>
  <c r="I116"/>
  <c r="I132"/>
  <c r="I175"/>
  <c r="I133"/>
  <c r="I124"/>
  <c r="I125"/>
  <c r="I134"/>
  <c r="I131"/>
  <c r="I130"/>
  <c r="I109"/>
  <c r="I110"/>
  <c r="I61" i="7"/>
  <c r="I66"/>
  <c r="I100" i="17"/>
  <c r="I124"/>
  <c r="I130"/>
  <c r="I136"/>
  <c r="I134"/>
  <c r="I109"/>
  <c r="I131"/>
  <c r="I174"/>
  <c r="F292" i="7"/>
  <c r="F316"/>
  <c r="H267" i="21"/>
  <c r="H263"/>
  <c r="G252"/>
  <c r="I103" i="17"/>
  <c r="I141"/>
  <c r="G232" i="21"/>
  <c r="I117" i="16"/>
  <c r="I61" i="21"/>
  <c r="I66"/>
  <c r="G305"/>
  <c r="I79" i="22"/>
  <c r="I176"/>
  <c r="H44" i="16"/>
  <c r="I126" i="17"/>
  <c r="I116"/>
  <c r="I125"/>
  <c r="F316"/>
  <c r="H44" i="18"/>
  <c r="H273" i="21"/>
  <c r="I69"/>
  <c r="I79"/>
  <c r="I175"/>
  <c r="I98"/>
  <c r="I101"/>
  <c r="I109"/>
  <c r="I110"/>
  <c r="I131"/>
  <c r="I174"/>
  <c r="I95"/>
  <c r="I99"/>
  <c r="I102"/>
  <c r="I116"/>
  <c r="I126"/>
  <c r="I132"/>
  <c r="I100"/>
  <c r="I130"/>
  <c r="I96"/>
  <c r="I124"/>
  <c r="I125"/>
  <c r="I134"/>
  <c r="I133"/>
  <c r="I97"/>
  <c r="I98" i="7"/>
  <c r="I101"/>
  <c r="I109"/>
  <c r="I110"/>
  <c r="I121"/>
  <c r="I131"/>
  <c r="I174"/>
  <c r="I95"/>
  <c r="I99"/>
  <c r="I102"/>
  <c r="I116"/>
  <c r="I132"/>
  <c r="I96"/>
  <c r="I124"/>
  <c r="I125"/>
  <c r="I134"/>
  <c r="I97"/>
  <c r="I123"/>
  <c r="I133"/>
  <c r="I100"/>
  <c r="I130"/>
  <c r="I117" i="18"/>
  <c r="I118"/>
  <c r="I143"/>
  <c r="I117" i="22"/>
  <c r="I118"/>
  <c r="I144"/>
  <c r="I118" i="17"/>
  <c r="I143"/>
  <c r="I117"/>
  <c r="I110"/>
  <c r="I123"/>
  <c r="I121"/>
  <c r="I136" i="18"/>
  <c r="I136" i="16"/>
  <c r="I126"/>
  <c r="I103"/>
  <c r="I141"/>
  <c r="I137" i="17"/>
  <c r="I138"/>
  <c r="I145"/>
  <c r="I111" i="18"/>
  <c r="I112"/>
  <c r="I142"/>
  <c r="I112" i="22"/>
  <c r="I143"/>
  <c r="I111"/>
  <c r="I112" i="16"/>
  <c r="I142"/>
  <c r="I126" i="18"/>
  <c r="I103" i="22"/>
  <c r="I142"/>
  <c r="I121" i="16"/>
  <c r="I123"/>
  <c r="I111"/>
  <c r="I121" i="18"/>
  <c r="I123"/>
  <c r="I129" i="22"/>
  <c r="I118" i="16"/>
  <c r="I143"/>
  <c r="I122"/>
  <c r="I127"/>
  <c r="I144"/>
  <c r="I147"/>
  <c r="I111" i="17"/>
  <c r="I112"/>
  <c r="I142"/>
  <c r="I147"/>
  <c r="I117" i="7"/>
  <c r="I118"/>
  <c r="I143"/>
  <c r="I135" i="22"/>
  <c r="I132"/>
  <c r="I133"/>
  <c r="I131"/>
  <c r="I134"/>
  <c r="I122" i="18"/>
  <c r="I127"/>
  <c r="I144"/>
  <c r="I112" i="7"/>
  <c r="I142"/>
  <c r="I111"/>
  <c r="I118" i="21"/>
  <c r="I143"/>
  <c r="I117"/>
  <c r="I123"/>
  <c r="I136" i="7"/>
  <c r="I126"/>
  <c r="I103"/>
  <c r="I141"/>
  <c r="I122"/>
  <c r="I127"/>
  <c r="I144"/>
  <c r="I112" i="21"/>
  <c r="I142"/>
  <c r="I111"/>
  <c r="I138" i="16"/>
  <c r="I145"/>
  <c r="I137"/>
  <c r="I137" i="18"/>
  <c r="I138"/>
  <c r="I145"/>
  <c r="I127" i="17"/>
  <c r="I144"/>
  <c r="I122"/>
  <c r="I103" i="21"/>
  <c r="I141"/>
  <c r="I136"/>
  <c r="I121"/>
  <c r="I177" i="16"/>
  <c r="I178"/>
  <c r="I150"/>
  <c r="I151"/>
  <c r="I147" i="18"/>
  <c r="I177" i="17"/>
  <c r="I178"/>
  <c r="I150"/>
  <c r="I151"/>
  <c r="I137" i="7"/>
  <c r="I138"/>
  <c r="I145"/>
  <c r="I147"/>
  <c r="I138" i="21"/>
  <c r="I145"/>
  <c r="I137"/>
  <c r="I137" i="22"/>
  <c r="I123"/>
  <c r="I126"/>
  <c r="I121"/>
  <c r="I122" i="21"/>
  <c r="I127"/>
  <c r="I144"/>
  <c r="I147"/>
  <c r="I177"/>
  <c r="I178"/>
  <c r="I150"/>
  <c r="I151"/>
  <c r="I177" i="7"/>
  <c r="I178"/>
  <c r="I150"/>
  <c r="I151"/>
  <c r="I154" i="16"/>
  <c r="I178" i="18"/>
  <c r="I179"/>
  <c r="I150"/>
  <c r="I151"/>
  <c r="I122" i="22"/>
  <c r="I127"/>
  <c r="I145"/>
  <c r="I138"/>
  <c r="I139"/>
  <c r="I146"/>
  <c r="I154" i="17"/>
  <c r="I152"/>
  <c r="I153"/>
  <c r="I152" i="16"/>
  <c r="I153"/>
  <c r="I148" i="22"/>
  <c r="I158" i="17"/>
  <c r="I162"/>
  <c r="I163"/>
  <c r="I179"/>
  <c r="I180"/>
  <c r="I157"/>
  <c r="I157" i="16"/>
  <c r="I162"/>
  <c r="I158"/>
  <c r="I152" i="18"/>
  <c r="I153"/>
  <c r="I152" i="7"/>
  <c r="I153"/>
  <c r="I154"/>
  <c r="I152" i="21"/>
  <c r="I153"/>
  <c r="I154"/>
  <c r="I162"/>
  <c r="I158"/>
  <c r="I157"/>
  <c r="E205" i="17"/>
  <c r="G205"/>
  <c r="G206"/>
  <c r="D286"/>
  <c r="G286"/>
  <c r="G258"/>
  <c r="H258"/>
  <c r="G272"/>
  <c r="H272"/>
  <c r="G262"/>
  <c r="H262"/>
  <c r="E225"/>
  <c r="G225"/>
  <c r="G226"/>
  <c r="D291"/>
  <c r="G291"/>
  <c r="E243"/>
  <c r="G243"/>
  <c r="E217"/>
  <c r="G217"/>
  <c r="G218"/>
  <c r="D289"/>
  <c r="G289"/>
  <c r="E231"/>
  <c r="G231"/>
  <c r="E239"/>
  <c r="G239"/>
  <c r="E247"/>
  <c r="G247"/>
  <c r="G266"/>
  <c r="H266"/>
  <c r="E209"/>
  <c r="G209"/>
  <c r="G210"/>
  <c r="D287"/>
  <c r="G287"/>
  <c r="E235"/>
  <c r="G235"/>
  <c r="E251"/>
  <c r="G251"/>
  <c r="I165" i="16"/>
  <c r="I163"/>
  <c r="I179"/>
  <c r="I180"/>
  <c r="I178" i="22"/>
  <c r="I179"/>
  <c r="I151"/>
  <c r="I152"/>
  <c r="I155"/>
  <c r="I153"/>
  <c r="I154"/>
  <c r="I154" i="18"/>
  <c r="I162" i="7"/>
  <c r="I158"/>
  <c r="I163"/>
  <c r="I179"/>
  <c r="I180"/>
  <c r="I157"/>
  <c r="I165" i="17"/>
  <c r="G262" i="7"/>
  <c r="H262"/>
  <c r="G266"/>
  <c r="H266"/>
  <c r="E231"/>
  <c r="G231"/>
  <c r="E247"/>
  <c r="G247"/>
  <c r="E209"/>
  <c r="G209"/>
  <c r="G210"/>
  <c r="D287"/>
  <c r="G287"/>
  <c r="E235"/>
  <c r="G235"/>
  <c r="E251"/>
  <c r="G251"/>
  <c r="G258"/>
  <c r="H258"/>
  <c r="E225"/>
  <c r="G225"/>
  <c r="G226"/>
  <c r="D291"/>
  <c r="G291"/>
  <c r="E243"/>
  <c r="G243"/>
  <c r="G272"/>
  <c r="H272"/>
  <c r="E205"/>
  <c r="G205"/>
  <c r="G206"/>
  <c r="D286"/>
  <c r="G286"/>
  <c r="E217"/>
  <c r="G217"/>
  <c r="G218"/>
  <c r="D289"/>
  <c r="G289"/>
  <c r="E239"/>
  <c r="G239"/>
  <c r="I163" i="18"/>
  <c r="I156"/>
  <c r="I158"/>
  <c r="I159"/>
  <c r="D299" i="17"/>
  <c r="G299"/>
  <c r="G252"/>
  <c r="D298"/>
  <c r="G298"/>
  <c r="G248"/>
  <c r="D297"/>
  <c r="G297"/>
  <c r="G244"/>
  <c r="H259"/>
  <c r="D302"/>
  <c r="G302"/>
  <c r="G305"/>
  <c r="H267"/>
  <c r="D304"/>
  <c r="G304"/>
  <c r="D307"/>
  <c r="G307"/>
  <c r="G308"/>
  <c r="H273"/>
  <c r="I163" i="22"/>
  <c r="I159"/>
  <c r="I164"/>
  <c r="I180"/>
  <c r="I181"/>
  <c r="I158"/>
  <c r="D294" i="17"/>
  <c r="G294"/>
  <c r="G232"/>
  <c r="D303"/>
  <c r="G303"/>
  <c r="H263"/>
  <c r="I165" i="21"/>
  <c r="I163"/>
  <c r="I179"/>
  <c r="I180"/>
  <c r="G266" i="16"/>
  <c r="H266"/>
  <c r="E209"/>
  <c r="G209"/>
  <c r="G210"/>
  <c r="D287"/>
  <c r="G287"/>
  <c r="E217"/>
  <c r="G217"/>
  <c r="G218"/>
  <c r="D289"/>
  <c r="G289"/>
  <c r="E225"/>
  <c r="G225"/>
  <c r="G226"/>
  <c r="D291"/>
  <c r="G291"/>
  <c r="E231"/>
  <c r="G231"/>
  <c r="E235"/>
  <c r="G235"/>
  <c r="E239"/>
  <c r="G239"/>
  <c r="E243"/>
  <c r="G243"/>
  <c r="E247"/>
  <c r="G247"/>
  <c r="E251"/>
  <c r="G251"/>
  <c r="G258"/>
  <c r="H258"/>
  <c r="G262"/>
  <c r="H262"/>
  <c r="E205"/>
  <c r="G205"/>
  <c r="G206"/>
  <c r="D286"/>
  <c r="G286"/>
  <c r="G272"/>
  <c r="H272"/>
  <c r="D295" i="17"/>
  <c r="G295"/>
  <c r="G236"/>
  <c r="D296"/>
  <c r="G296"/>
  <c r="G240"/>
  <c r="I165" i="7"/>
  <c r="G292" i="17"/>
  <c r="G263" i="22"/>
  <c r="H263"/>
  <c r="E206"/>
  <c r="G206"/>
  <c r="G207"/>
  <c r="D287"/>
  <c r="G287"/>
  <c r="E244"/>
  <c r="G244"/>
  <c r="G273"/>
  <c r="H273"/>
  <c r="E248"/>
  <c r="G248"/>
  <c r="E252"/>
  <c r="G252"/>
  <c r="G259"/>
  <c r="H259"/>
  <c r="G267"/>
  <c r="H267"/>
  <c r="E210"/>
  <c r="G210"/>
  <c r="G211"/>
  <c r="D288"/>
  <c r="G288"/>
  <c r="E226"/>
  <c r="G226"/>
  <c r="G227"/>
  <c r="D292"/>
  <c r="G292"/>
  <c r="E240"/>
  <c r="G240"/>
  <c r="E218"/>
  <c r="G218"/>
  <c r="G219"/>
  <c r="D290"/>
  <c r="G290"/>
  <c r="E232"/>
  <c r="G232"/>
  <c r="E236"/>
  <c r="G236"/>
  <c r="D303" i="16"/>
  <c r="G303"/>
  <c r="H263"/>
  <c r="D297"/>
  <c r="G297"/>
  <c r="G244"/>
  <c r="E213" i="21"/>
  <c r="E205"/>
  <c r="D304" i="7"/>
  <c r="G304"/>
  <c r="H267"/>
  <c r="D298" i="16"/>
  <c r="G298"/>
  <c r="G248"/>
  <c r="H259"/>
  <c r="D302"/>
  <c r="G302"/>
  <c r="G305"/>
  <c r="G240"/>
  <c r="D296"/>
  <c r="G296"/>
  <c r="D303" i="7"/>
  <c r="G303"/>
  <c r="H263"/>
  <c r="G316" i="17"/>
  <c r="G300"/>
  <c r="G240" i="7"/>
  <c r="D296"/>
  <c r="G296"/>
  <c r="G244"/>
  <c r="D297"/>
  <c r="G297"/>
  <c r="G236"/>
  <c r="D295"/>
  <c r="G295"/>
  <c r="D294" i="16"/>
  <c r="G294"/>
  <c r="G232"/>
  <c r="D304"/>
  <c r="G304"/>
  <c r="H267"/>
  <c r="D307" i="7"/>
  <c r="G307"/>
  <c r="G308"/>
  <c r="H273"/>
  <c r="G252"/>
  <c r="D299"/>
  <c r="G299"/>
  <c r="G232"/>
  <c r="D294"/>
  <c r="G294"/>
  <c r="D307" i="16"/>
  <c r="G307"/>
  <c r="G308"/>
  <c r="H273"/>
  <c r="D299"/>
  <c r="G299"/>
  <c r="G252"/>
  <c r="D295"/>
  <c r="G295"/>
  <c r="G236"/>
  <c r="I166" i="18"/>
  <c r="I164"/>
  <c r="I180"/>
  <c r="I181"/>
  <c r="H259" i="7"/>
  <c r="D302"/>
  <c r="G302"/>
  <c r="G305"/>
  <c r="G248"/>
  <c r="D298"/>
  <c r="G298"/>
  <c r="G292" i="16"/>
  <c r="I166" i="22"/>
  <c r="G292" i="7"/>
  <c r="D300" i="22"/>
  <c r="G300"/>
  <c r="G253"/>
  <c r="D295"/>
  <c r="G295"/>
  <c r="G233"/>
  <c r="D299"/>
  <c r="G299"/>
  <c r="G249"/>
  <c r="D304"/>
  <c r="G304"/>
  <c r="H264"/>
  <c r="D296"/>
  <c r="G296"/>
  <c r="G237"/>
  <c r="G322" i="17"/>
  <c r="G318"/>
  <c r="J213" i="21"/>
  <c r="G213"/>
  <c r="D297" i="22"/>
  <c r="G297"/>
  <c r="G241"/>
  <c r="H260"/>
  <c r="D303"/>
  <c r="G303"/>
  <c r="D298"/>
  <c r="G298"/>
  <c r="G245"/>
  <c r="G263" i="18"/>
  <c r="H263"/>
  <c r="G267"/>
  <c r="H267"/>
  <c r="E210"/>
  <c r="G210"/>
  <c r="G211"/>
  <c r="D288"/>
  <c r="G288"/>
  <c r="E236"/>
  <c r="G236"/>
  <c r="E252"/>
  <c r="G252"/>
  <c r="G259"/>
  <c r="H259"/>
  <c r="E218"/>
  <c r="G218"/>
  <c r="G219"/>
  <c r="D290"/>
  <c r="G290"/>
  <c r="E226"/>
  <c r="G226"/>
  <c r="G227"/>
  <c r="D292"/>
  <c r="G292"/>
  <c r="E244"/>
  <c r="G244"/>
  <c r="E232"/>
  <c r="G232"/>
  <c r="E248"/>
  <c r="G248"/>
  <c r="E206"/>
  <c r="G206"/>
  <c r="G207"/>
  <c r="D287"/>
  <c r="G287"/>
  <c r="E240"/>
  <c r="G240"/>
  <c r="G273"/>
  <c r="H273"/>
  <c r="G205" i="21"/>
  <c r="G206"/>
  <c r="D286"/>
  <c r="G286"/>
  <c r="J205"/>
  <c r="D305" i="22"/>
  <c r="G305"/>
  <c r="H268"/>
  <c r="D308"/>
  <c r="G308"/>
  <c r="G309"/>
  <c r="H274"/>
  <c r="G293"/>
  <c r="G300" i="16"/>
  <c r="G316"/>
  <c r="G316" i="7"/>
  <c r="G300"/>
  <c r="G318" i="16"/>
  <c r="G322"/>
  <c r="G318" i="7"/>
  <c r="G322"/>
  <c r="G249" i="18"/>
  <c r="D299"/>
  <c r="G299"/>
  <c r="G237"/>
  <c r="D296"/>
  <c r="G296"/>
  <c r="D308"/>
  <c r="G308"/>
  <c r="G309"/>
  <c r="H274"/>
  <c r="G233"/>
  <c r="D295"/>
  <c r="G295"/>
  <c r="H260"/>
  <c r="D303"/>
  <c r="G303"/>
  <c r="G306"/>
  <c r="D305"/>
  <c r="G305"/>
  <c r="H268"/>
  <c r="G214" i="21"/>
  <c r="D288"/>
  <c r="G288"/>
  <c r="G292"/>
  <c r="G316"/>
  <c r="G293" i="18"/>
  <c r="G306" i="22"/>
  <c r="G241" i="18"/>
  <c r="D297"/>
  <c r="G297"/>
  <c r="G245"/>
  <c r="D298"/>
  <c r="G298"/>
  <c r="G253"/>
  <c r="D300"/>
  <c r="G300"/>
  <c r="D304"/>
  <c r="G304"/>
  <c r="H264"/>
  <c r="G301" i="22"/>
  <c r="G317"/>
  <c r="G323"/>
  <c r="G319"/>
  <c r="G322" i="21"/>
  <c r="G318"/>
  <c r="G317" i="18"/>
  <c r="G301"/>
  <c r="G319"/>
  <c r="G323"/>
  <c r="H41" i="23"/>
  <c r="I166" i="25"/>
  <c r="I124"/>
  <c r="I118"/>
  <c r="I101"/>
  <c r="I102"/>
  <c r="I103"/>
  <c r="I93"/>
  <c r="I90"/>
  <c r="I126"/>
  <c r="I116"/>
  <c r="I117"/>
  <c r="O108"/>
  <c r="I108"/>
  <c r="I109"/>
  <c r="I125"/>
  <c r="I115"/>
  <c r="M108"/>
  <c r="I94"/>
  <c r="I91"/>
  <c r="I87"/>
  <c r="I122"/>
  <c r="I92"/>
  <c r="I88"/>
  <c r="I123"/>
  <c r="K108"/>
  <c r="L108"/>
  <c r="I89"/>
  <c r="F284"/>
  <c r="F305"/>
  <c r="I58" i="23"/>
  <c r="F284"/>
  <c r="F305"/>
  <c r="I104" i="25"/>
  <c r="I134"/>
  <c r="M109"/>
  <c r="M110"/>
  <c r="N110"/>
  <c r="N112"/>
  <c r="O112"/>
  <c r="I128"/>
  <c r="I110"/>
  <c r="I135"/>
  <c r="I95"/>
  <c r="I133"/>
  <c r="I113"/>
  <c r="I166" i="23"/>
  <c r="I124"/>
  <c r="I118"/>
  <c r="I101"/>
  <c r="I102"/>
  <c r="I93"/>
  <c r="I90"/>
  <c r="I122"/>
  <c r="I108"/>
  <c r="I92"/>
  <c r="I88"/>
  <c r="I125"/>
  <c r="I115"/>
  <c r="M108"/>
  <c r="I94"/>
  <c r="I91"/>
  <c r="I87"/>
  <c r="I126"/>
  <c r="I116"/>
  <c r="I117"/>
  <c r="O108"/>
  <c r="I123"/>
  <c r="I113"/>
  <c r="K108"/>
  <c r="L108"/>
  <c r="I89"/>
  <c r="I129" i="25"/>
  <c r="I130"/>
  <c r="I137"/>
  <c r="I114"/>
  <c r="I119"/>
  <c r="I136"/>
  <c r="I109" i="23"/>
  <c r="I110"/>
  <c r="I135"/>
  <c r="I104"/>
  <c r="I134"/>
  <c r="I103"/>
  <c r="I95"/>
  <c r="I133"/>
  <c r="M109"/>
  <c r="M110"/>
  <c r="N110"/>
  <c r="N112"/>
  <c r="O112"/>
  <c r="I114"/>
  <c r="I119"/>
  <c r="I136"/>
  <c r="I128"/>
  <c r="I139" i="25"/>
  <c r="I139" i="23"/>
  <c r="I130"/>
  <c r="I137"/>
  <c r="I129"/>
  <c r="I169" i="25"/>
  <c r="I170"/>
  <c r="I142"/>
  <c r="I169" i="23"/>
  <c r="I170"/>
  <c r="I142"/>
  <c r="I143" i="25"/>
  <c r="L142"/>
  <c r="L142" i="23"/>
  <c r="I143"/>
  <c r="I144" i="25"/>
  <c r="I145"/>
  <c r="I146"/>
  <c r="I144" i="23"/>
  <c r="I145"/>
  <c r="I146"/>
  <c r="I154" i="25"/>
  <c r="I149"/>
  <c r="I150"/>
  <c r="I154" i="23"/>
  <c r="I149"/>
  <c r="I150"/>
  <c r="I157" i="25"/>
  <c r="I155"/>
  <c r="I171"/>
  <c r="I172"/>
  <c r="I157" i="23"/>
  <c r="I155"/>
  <c r="I171"/>
  <c r="I172"/>
  <c r="G254" i="25"/>
  <c r="H254"/>
  <c r="E217"/>
  <c r="G217"/>
  <c r="G218"/>
  <c r="D283"/>
  <c r="G283"/>
  <c r="E201"/>
  <c r="G201"/>
  <c r="G202"/>
  <c r="D279"/>
  <c r="G279"/>
  <c r="G258"/>
  <c r="H258"/>
  <c r="E243"/>
  <c r="G243"/>
  <c r="E239"/>
  <c r="G239"/>
  <c r="E235"/>
  <c r="G235"/>
  <c r="E231"/>
  <c r="G231"/>
  <c r="E227"/>
  <c r="G227"/>
  <c r="E223"/>
  <c r="G223"/>
  <c r="E209"/>
  <c r="G209"/>
  <c r="G210"/>
  <c r="D281"/>
  <c r="G281"/>
  <c r="G264"/>
  <c r="H264"/>
  <c r="G250"/>
  <c r="H250"/>
  <c r="E197"/>
  <c r="G197"/>
  <c r="G198"/>
  <c r="D278"/>
  <c r="G278"/>
  <c r="G254" i="23"/>
  <c r="H254"/>
  <c r="E239"/>
  <c r="G239"/>
  <c r="E223"/>
  <c r="G223"/>
  <c r="E209"/>
  <c r="G209"/>
  <c r="G210"/>
  <c r="D281"/>
  <c r="G281"/>
  <c r="G258"/>
  <c r="H258"/>
  <c r="E235"/>
  <c r="G235"/>
  <c r="E227"/>
  <c r="G227"/>
  <c r="E217"/>
  <c r="G217"/>
  <c r="G218"/>
  <c r="D283"/>
  <c r="G283"/>
  <c r="E201"/>
  <c r="G201"/>
  <c r="G202"/>
  <c r="D279"/>
  <c r="G279"/>
  <c r="E243"/>
  <c r="G243"/>
  <c r="E231"/>
  <c r="G231"/>
  <c r="G264"/>
  <c r="H264"/>
  <c r="G250"/>
  <c r="H250"/>
  <c r="E197"/>
  <c r="G197"/>
  <c r="G198"/>
  <c r="D278"/>
  <c r="G278"/>
  <c r="G284" i="25"/>
  <c r="D286"/>
  <c r="G286"/>
  <c r="G224"/>
  <c r="D294"/>
  <c r="G294"/>
  <c r="H251"/>
  <c r="D287"/>
  <c r="G287"/>
  <c r="G228"/>
  <c r="D291"/>
  <c r="G291"/>
  <c r="G244"/>
  <c r="D295"/>
  <c r="G295"/>
  <c r="H255"/>
  <c r="G240"/>
  <c r="D290"/>
  <c r="G290"/>
  <c r="G236"/>
  <c r="D289"/>
  <c r="G289"/>
  <c r="D299"/>
  <c r="G299"/>
  <c r="G300"/>
  <c r="H265"/>
  <c r="G232"/>
  <c r="D288"/>
  <c r="G288"/>
  <c r="D296"/>
  <c r="G296"/>
  <c r="H259"/>
  <c r="D294" i="23"/>
  <c r="G294"/>
  <c r="H251"/>
  <c r="D296"/>
  <c r="G296"/>
  <c r="H259"/>
  <c r="D295"/>
  <c r="G295"/>
  <c r="H255"/>
  <c r="D291"/>
  <c r="G291"/>
  <c r="G244"/>
  <c r="G236"/>
  <c r="D289"/>
  <c r="G289"/>
  <c r="G240"/>
  <c r="D290"/>
  <c r="G290"/>
  <c r="G232"/>
  <c r="D288"/>
  <c r="G288"/>
  <c r="D287"/>
  <c r="G287"/>
  <c r="G228"/>
  <c r="G224"/>
  <c r="D286"/>
  <c r="G286"/>
  <c r="G284"/>
  <c r="D299"/>
  <c r="G299"/>
  <c r="G300"/>
  <c r="H265"/>
  <c r="G292"/>
  <c r="G292" i="25"/>
  <c r="G305"/>
  <c r="G297"/>
  <c r="G297" i="23"/>
  <c r="G305"/>
  <c r="G307"/>
  <c r="G307" i="25"/>
  <c r="G311"/>
  <c r="G311" i="23"/>
  <c r="J107" i="20"/>
  <c r="J108" s="1"/>
  <c r="J94"/>
  <c r="J172"/>
  <c r="J99"/>
  <c r="J95"/>
  <c r="J96"/>
  <c r="J113"/>
  <c r="J97"/>
  <c r="G326" l="1"/>
  <c r="G327" s="1"/>
  <c r="G332" s="1"/>
  <c r="I45"/>
  <c r="J129"/>
  <c r="J130"/>
  <c r="J131"/>
  <c r="J132"/>
  <c r="J118"/>
  <c r="J119" s="1"/>
  <c r="J100"/>
  <c r="J139" s="1"/>
  <c r="I100"/>
  <c r="J122" s="1"/>
  <c r="J124" l="1"/>
  <c r="J142" s="1"/>
  <c r="J134"/>
  <c r="J135" s="1"/>
  <c r="J136" s="1"/>
  <c r="J143" s="1"/>
  <c r="J114"/>
  <c r="J115" s="1"/>
  <c r="J141" s="1"/>
  <c r="J109"/>
  <c r="J140" s="1"/>
  <c r="J145" l="1"/>
  <c r="J175" s="1"/>
  <c r="J176" s="1"/>
  <c r="J148" l="1"/>
  <c r="J149" s="1"/>
  <c r="J150" s="1"/>
  <c r="J151" s="1"/>
  <c r="J152" s="1"/>
  <c r="J156" s="1"/>
  <c r="J160" l="1"/>
  <c r="J155"/>
  <c r="J161" l="1"/>
  <c r="J177" s="1"/>
  <c r="J178" s="1"/>
  <c r="J163"/>
  <c r="F270" l="1"/>
  <c r="H270" s="1"/>
  <c r="H271" s="1"/>
  <c r="E318" s="1"/>
  <c r="H318" s="1"/>
  <c r="H292"/>
  <c r="I292" s="1"/>
  <c r="I293" s="1"/>
  <c r="E326" s="1"/>
  <c r="F298"/>
  <c r="H298" s="1"/>
  <c r="H299" s="1"/>
  <c r="E329" s="1"/>
  <c r="H282"/>
  <c r="F258"/>
  <c r="H258" s="1"/>
  <c r="F227"/>
  <c r="H227" s="1"/>
  <c r="H286"/>
  <c r="F243"/>
  <c r="H243" s="1"/>
  <c r="F223"/>
  <c r="H223" s="1"/>
  <c r="F235"/>
  <c r="H235" s="1"/>
  <c r="F266"/>
  <c r="H266" s="1"/>
  <c r="F239"/>
  <c r="F250"/>
  <c r="H250" s="1"/>
  <c r="H251" s="1"/>
  <c r="E313" s="1"/>
  <c r="H313" s="1"/>
  <c r="F254"/>
  <c r="H254" s="1"/>
  <c r="H276"/>
  <c r="I276" s="1"/>
  <c r="F231"/>
  <c r="F262"/>
  <c r="H239" l="1"/>
  <c r="H240" s="1"/>
  <c r="E309" s="1"/>
  <c r="H309" s="1"/>
  <c r="H231"/>
  <c r="H232" s="1"/>
  <c r="E307" s="1"/>
  <c r="H307" s="1"/>
  <c r="H262"/>
  <c r="H263" s="1"/>
  <c r="E316" s="1"/>
  <c r="H316" s="1"/>
  <c r="I282"/>
  <c r="I283" s="1"/>
  <c r="E322" s="1"/>
  <c r="H322" s="1"/>
  <c r="I286"/>
  <c r="I287" s="1"/>
  <c r="E323" s="1"/>
  <c r="H323" s="1"/>
  <c r="H267"/>
  <c r="E317" s="1"/>
  <c r="H317" s="1"/>
  <c r="H326"/>
  <c r="H327" s="1"/>
  <c r="H259"/>
  <c r="E315" s="1"/>
  <c r="H315" s="1"/>
  <c r="H224"/>
  <c r="E305" s="1"/>
  <c r="H305" s="1"/>
  <c r="H244"/>
  <c r="H255"/>
  <c r="E314" s="1"/>
  <c r="H314" s="1"/>
  <c r="H236"/>
  <c r="E308" s="1"/>
  <c r="H308" s="1"/>
  <c r="H228"/>
  <c r="H306" s="1"/>
  <c r="I277"/>
  <c r="E321" s="1"/>
  <c r="H321" s="1"/>
  <c r="H319" l="1"/>
  <c r="H324"/>
  <c r="E310"/>
  <c r="H310" s="1"/>
  <c r="H311" s="1"/>
  <c r="H332" l="1"/>
  <c r="H334" l="1"/>
</calcChain>
</file>

<file path=xl/comments1.xml><?xml version="1.0" encoding="utf-8"?>
<comments xmlns="http://schemas.openxmlformats.org/spreadsheetml/2006/main">
  <authors>
    <author>Secretaria da Receita Federal</author>
  </authors>
  <commentList>
    <comment ref="M26" authorId="0">
      <text>
        <r>
          <rPr>
            <b/>
            <sz val="8"/>
            <color indexed="81"/>
            <rFont val="Tahoma"/>
            <family val="2"/>
          </rPr>
          <t>em horas</t>
        </r>
      </text>
    </comment>
  </commentList>
</comments>
</file>

<file path=xl/comments2.xml><?xml version="1.0" encoding="utf-8"?>
<comments xmlns="http://schemas.openxmlformats.org/spreadsheetml/2006/main">
  <authors>
    <author>Secretaria da Receita Federal</author>
  </authors>
  <commentList>
    <comment ref="M26" authorId="0">
      <text>
        <r>
          <rPr>
            <b/>
            <sz val="8"/>
            <color indexed="81"/>
            <rFont val="Tahoma"/>
            <family val="2"/>
          </rPr>
          <t>em horas</t>
        </r>
      </text>
    </comment>
  </commentList>
</comments>
</file>

<file path=xl/comments3.xml><?xml version="1.0" encoding="utf-8"?>
<comments xmlns="http://schemas.openxmlformats.org/spreadsheetml/2006/main">
  <authors>
    <author>Secretaria da Receita Federal</author>
  </authors>
  <commentList>
    <comment ref="M26" authorId="0">
      <text>
        <r>
          <rPr>
            <b/>
            <sz val="8"/>
            <color indexed="81"/>
            <rFont val="Tahoma"/>
            <family val="2"/>
          </rPr>
          <t>em horas</t>
        </r>
      </text>
    </comment>
  </commentList>
</comments>
</file>

<file path=xl/comments4.xml><?xml version="1.0" encoding="utf-8"?>
<comments xmlns="http://schemas.openxmlformats.org/spreadsheetml/2006/main">
  <authors>
    <author>Secretaria da Receita Federal</author>
  </authors>
  <commentList>
    <comment ref="M26" authorId="0">
      <text>
        <r>
          <rPr>
            <b/>
            <sz val="8"/>
            <color indexed="81"/>
            <rFont val="Tahoma"/>
            <family val="2"/>
          </rPr>
          <t>em horas</t>
        </r>
      </text>
    </comment>
  </commentList>
</comments>
</file>

<file path=xl/comments5.xml><?xml version="1.0" encoding="utf-8"?>
<comments xmlns="http://schemas.openxmlformats.org/spreadsheetml/2006/main">
  <authors>
    <author>Secretaria da Receita Federal</author>
  </authors>
  <commentList>
    <comment ref="M26" authorId="0">
      <text>
        <r>
          <rPr>
            <b/>
            <sz val="8"/>
            <color indexed="81"/>
            <rFont val="Tahoma"/>
            <family val="2"/>
          </rPr>
          <t>em horas</t>
        </r>
      </text>
    </comment>
  </commentList>
</comments>
</file>

<file path=xl/comments6.xml><?xml version="1.0" encoding="utf-8"?>
<comments xmlns="http://schemas.openxmlformats.org/spreadsheetml/2006/main">
  <authors>
    <author>Secretaria da Receita Federal</author>
  </authors>
  <commentList>
    <comment ref="M26" authorId="0">
      <text>
        <r>
          <rPr>
            <b/>
            <sz val="8"/>
            <color indexed="81"/>
            <rFont val="Tahoma"/>
            <family val="2"/>
          </rPr>
          <t>em horas</t>
        </r>
      </text>
    </comment>
  </commentList>
</comments>
</file>

<file path=xl/sharedStrings.xml><?xml version="1.0" encoding="utf-8"?>
<sst xmlns="http://schemas.openxmlformats.org/spreadsheetml/2006/main" count="5547" uniqueCount="648">
  <si>
    <r>
      <t xml:space="preserve">Seguro de vida </t>
    </r>
    <r>
      <rPr>
        <b/>
        <sz val="10"/>
        <color indexed="10"/>
        <rFont val="Arial"/>
        <family val="2"/>
      </rPr>
      <t xml:space="preserve">Cálculo do valor = R$ 5.000,00x0,1068%  </t>
    </r>
    <r>
      <rPr>
        <b/>
        <sz val="10"/>
        <rFont val="Arial"/>
        <family val="2"/>
      </rPr>
      <t xml:space="preserve"> </t>
    </r>
    <r>
      <rPr>
        <b/>
        <sz val="10"/>
        <color indexed="12"/>
        <rFont val="Arial"/>
        <family val="2"/>
      </rPr>
      <t>Como não tem mais essa exigência na CCT não pode descontar do empregado</t>
    </r>
  </si>
  <si>
    <r>
      <t xml:space="preserve">      </t>
    </r>
    <r>
      <rPr>
        <b/>
        <sz val="9"/>
        <color indexed="10"/>
        <rFont val="Arial"/>
        <family val="2"/>
      </rPr>
      <t xml:space="preserve">B.1) Valor do auxílio-alimentação (clausula 23 da CCT 2054): </t>
    </r>
  </si>
  <si>
    <r>
      <t xml:space="preserve">Auxílio-alimentação </t>
    </r>
    <r>
      <rPr>
        <b/>
        <sz val="9"/>
        <rFont val="Arial"/>
        <family val="2"/>
      </rPr>
      <t xml:space="preserve">(vales, cesta básica, entre outros) </t>
    </r>
    <r>
      <rPr>
        <b/>
        <sz val="9"/>
        <color indexed="10"/>
        <rFont val="Arial"/>
        <family val="2"/>
      </rPr>
      <t>Cálculo</t>
    </r>
    <r>
      <rPr>
        <b/>
        <sz val="10"/>
        <rFont val="Arial"/>
        <family val="2"/>
      </rPr>
      <t xml:space="preserve"> </t>
    </r>
    <r>
      <rPr>
        <b/>
        <sz val="9"/>
        <color indexed="10"/>
        <rFont val="Arial"/>
        <family val="2"/>
      </rPr>
      <t>do valor = [(21xVA)x(1-</t>
    </r>
    <r>
      <rPr>
        <b/>
        <sz val="12"/>
        <color indexed="12"/>
        <rFont val="Arial"/>
        <family val="2"/>
      </rPr>
      <t>0,175</t>
    </r>
    <r>
      <rPr>
        <b/>
        <sz val="9"/>
        <color indexed="10"/>
        <rFont val="Arial"/>
        <family val="2"/>
      </rPr>
      <t>)]</t>
    </r>
  </si>
  <si>
    <r>
      <t xml:space="preserve">Seguro de vida  </t>
    </r>
    <r>
      <rPr>
        <b/>
        <sz val="10"/>
        <color indexed="10"/>
        <rFont val="Arial"/>
        <family val="2"/>
      </rPr>
      <t xml:space="preserve">Cálculo do valor = R$ 5.000,00x0,1068%   </t>
    </r>
    <r>
      <rPr>
        <b/>
        <sz val="10"/>
        <color indexed="12"/>
        <rFont val="Arial"/>
        <family val="2"/>
      </rPr>
      <t>Como não tem mais essa exigência na CCT não pode descontar do empregado</t>
    </r>
  </si>
  <si>
    <r>
      <t>Seguro acidente de trabalho (</t>
    </r>
    <r>
      <rPr>
        <b/>
        <sz val="10"/>
        <color indexed="8"/>
        <rFont val="Arial"/>
        <family val="2"/>
      </rPr>
      <t xml:space="preserve">RAT x FAP)
</t>
    </r>
    <r>
      <rPr>
        <b/>
        <sz val="8"/>
        <color indexed="10"/>
        <rFont val="Arial"/>
        <family val="2"/>
      </rPr>
      <t>Cálculo do valor: % do RAT x FAP (Fator Acidentário de Prevenção de cada empresa)</t>
    </r>
  </si>
  <si>
    <t>Incidência dos encargos previstos no submódulo 4.1 sobre 13º (décimo terceiro) salário</t>
  </si>
  <si>
    <r>
      <t xml:space="preserve">Afastamento maternidade                  </t>
    </r>
    <r>
      <rPr>
        <b/>
        <sz val="10"/>
        <color indexed="10"/>
        <rFont val="Arial"/>
        <family val="2"/>
      </rPr>
      <t>Cálculo do valor = {[(Rem+1/3Rem)/12]x(4/12)}x2%</t>
    </r>
  </si>
  <si>
    <t>Incidência do FGTS sobre o aviso-prévio indenizado</t>
  </si>
  <si>
    <r>
      <t xml:space="preserve">Multa sobre o FGTS e contribuições sociais sobre o aviso-prévio indenizado </t>
    </r>
    <r>
      <rPr>
        <b/>
        <sz val="10"/>
        <color indexed="10"/>
        <rFont val="Arial"/>
        <family val="2"/>
      </rPr>
      <t xml:space="preserve">Obrigatória a cotação de 0,24% sobre o valor do Módulo 1 - Composição da remuneração, conforme art. 19-A e Anexo VII da IN 2/08 (0,24% + 4,76% = 5%) </t>
    </r>
  </si>
  <si>
    <r>
      <t xml:space="preserve">Multa sobre o FGTS e contribuições sociais sobre o aviso-prévio trabalhado  </t>
    </r>
    <r>
      <rPr>
        <b/>
        <sz val="10"/>
        <color indexed="10"/>
        <rFont val="Arial"/>
        <family val="2"/>
      </rPr>
      <t xml:space="preserve">Obrigatória a cotação de 4,76% sobre o valor do Módulo 1 - Composição da remuneração, conforme art. 19-A e Anexo VII da IN 2/08 (0,24% + 4,76% = 5%) </t>
    </r>
  </si>
  <si>
    <t>4.5 - Custo de reposição do profissional ausente</t>
  </si>
  <si>
    <r>
      <t xml:space="preserve">Férias e terço constitucional     </t>
    </r>
    <r>
      <rPr>
        <b/>
        <sz val="10"/>
        <color indexed="10"/>
        <rFont val="Arial"/>
        <family val="2"/>
      </rPr>
      <t xml:space="preserve">Obrigatória a cotação de 12,10% sobre o valor do Módulo 1 - Composição da remuneração, conforme art. 19-A e Anexo VII da IN 2/08 (Férias + Adicional = 12,10% = 9,075% + 3,025%)              </t>
    </r>
    <r>
      <rPr>
        <b/>
        <sz val="10"/>
        <rFont val="Arial"/>
        <family val="2"/>
      </rPr>
      <t xml:space="preserve">                     </t>
    </r>
  </si>
  <si>
    <r>
      <t xml:space="preserve">Ausência por doença                                     </t>
    </r>
    <r>
      <rPr>
        <b/>
        <sz val="10"/>
        <color indexed="10"/>
        <rFont val="Arial"/>
        <family val="2"/>
      </rPr>
      <t>Cálculo do valor = [(Rem/30)x5dias]/12</t>
    </r>
  </si>
  <si>
    <r>
      <t xml:space="preserve">Licença-paternidade                               </t>
    </r>
    <r>
      <rPr>
        <b/>
        <sz val="10"/>
        <color indexed="10"/>
        <rFont val="Arial"/>
        <family val="2"/>
      </rPr>
      <t>Cálculo do valor = {[(Rem/30)x5dias]/12}x1,5%</t>
    </r>
  </si>
  <si>
    <r>
      <t xml:space="preserve">Ausências legais                                            </t>
    </r>
    <r>
      <rPr>
        <b/>
        <sz val="10"/>
        <color indexed="10"/>
        <rFont val="Arial"/>
        <family val="2"/>
      </rPr>
      <t>Cálculo do valor = [(Rem/30)x2,96dias]/12</t>
    </r>
  </si>
  <si>
    <t>Quadro-resumo - Módulo 4 - Encargos sociais e trabalhistas</t>
  </si>
  <si>
    <t>13º (décimo terceiro) salário</t>
  </si>
  <si>
    <t>BASE DE CÁLCULO DOS CUSTOS INDIRETOS  = (Total da Remuneração + Total dos Benefícios Mensais e Diários + Total de Insumos Diversos + Total do Quadro-Resumo do Módulo 4 de Encargos Sociais e Trabalhistas)</t>
  </si>
  <si>
    <t>Custos Indiretos</t>
  </si>
  <si>
    <t>C.1    Tributos Federais (especificar)</t>
  </si>
  <si>
    <r>
      <t xml:space="preserve">  </t>
    </r>
    <r>
      <rPr>
        <b/>
        <sz val="10"/>
        <rFont val="Arial"/>
        <family val="2"/>
      </rPr>
      <t xml:space="preserve">a) Cofins </t>
    </r>
    <r>
      <rPr>
        <sz val="8.5"/>
        <color indexed="10"/>
        <rFont val="Arial"/>
        <family val="2"/>
      </rPr>
      <t>(depende do regime de tributação - utilizada a hipótese de Lucro Presumido)</t>
    </r>
  </si>
  <si>
    <r>
      <t xml:space="preserve">  </t>
    </r>
    <r>
      <rPr>
        <b/>
        <sz val="10"/>
        <rFont val="Arial"/>
        <family val="2"/>
      </rPr>
      <t xml:space="preserve">b) PIS       </t>
    </r>
    <r>
      <rPr>
        <sz val="9"/>
        <color indexed="10"/>
        <rFont val="Arial"/>
        <family val="2"/>
      </rPr>
      <t>(depende do regime de tributação - utilizada a hipótese de Lucro Presumido)</t>
    </r>
  </si>
  <si>
    <t>C.2   Tributos Estaduais (especificar)</t>
  </si>
  <si>
    <t>C.3   Tributos Municipais (especificar):</t>
  </si>
  <si>
    <t>Nota 1: Custos indiretos, lucro e tributos por empregado
Nota 2: O valor referente a tributos é obtido aplicando-se o percentual sobre o valor do faturamento</t>
  </si>
  <si>
    <r>
      <t xml:space="preserve">ANEXO -------B
</t>
    </r>
    <r>
      <rPr>
        <b/>
        <sz val="11"/>
        <rFont val="Arial"/>
        <family val="2"/>
      </rPr>
      <t>Quadro-Resumo do custo por empregado</t>
    </r>
  </si>
  <si>
    <t>Valor total por empregado</t>
  </si>
  <si>
    <r>
      <t xml:space="preserve">Aviso-previo trabalhado                 </t>
    </r>
    <r>
      <rPr>
        <b/>
        <sz val="10"/>
        <color indexed="10"/>
        <rFont val="Arial"/>
        <family val="2"/>
      </rPr>
      <t xml:space="preserve">(negociar extinção/redução na 1ª prorrogação)
</t>
    </r>
    <r>
      <rPr>
        <b/>
        <sz val="9"/>
        <color indexed="10"/>
        <rFont val="Arial"/>
        <family val="2"/>
      </rPr>
      <t>Cálculo do valor= [(Rem/30)x7]/</t>
    </r>
    <r>
      <rPr>
        <b/>
        <sz val="11"/>
        <color indexed="12"/>
        <rFont val="Arial"/>
        <family val="2"/>
      </rPr>
      <t>12</t>
    </r>
    <r>
      <rPr>
        <b/>
        <sz val="9"/>
        <color indexed="10"/>
        <rFont val="Arial"/>
        <family val="2"/>
      </rPr>
      <t xml:space="preserve"> meses do contratox90% dos empregados </t>
    </r>
    <r>
      <rPr>
        <b/>
        <sz val="8"/>
        <color indexed="10"/>
        <rFont val="Arial"/>
        <family val="2"/>
      </rPr>
      <t>- ao final do contrato</t>
    </r>
  </si>
  <si>
    <r>
      <t xml:space="preserve">ANEXO </t>
    </r>
    <r>
      <rPr>
        <b/>
        <sz val="12"/>
        <color indexed="10"/>
        <rFont val="Arial"/>
        <family val="2"/>
      </rPr>
      <t>-------</t>
    </r>
    <r>
      <rPr>
        <b/>
        <sz val="12"/>
        <rFont val="Arial"/>
        <family val="2"/>
      </rPr>
      <t>C
Quadro-resumo - VALOR MENSAL DOS SERVIÇOS</t>
    </r>
  </si>
  <si>
    <t>VALOR MENSAL DOS SERVIÇOS (I+ II + III +...)</t>
  </si>
  <si>
    <r>
      <t xml:space="preserve">ANEXO </t>
    </r>
    <r>
      <rPr>
        <b/>
        <sz val="12"/>
        <color indexed="10"/>
        <rFont val="Arial"/>
        <family val="2"/>
      </rPr>
      <t>-----</t>
    </r>
    <r>
      <rPr>
        <b/>
        <sz val="12"/>
        <rFont val="Arial"/>
        <family val="2"/>
      </rPr>
      <t>D
Quadro-demonstrativo - VALOR GLOBAL DA PROPOSTA</t>
    </r>
  </si>
  <si>
    <t>Valor global da proposta</t>
  </si>
  <si>
    <t>Valor proposto por unidade de medida (*)</t>
  </si>
  <si>
    <t>Valor global da proposta (valor mensal do serviço x nº de meses do contrato)</t>
  </si>
  <si>
    <t>Nota (1): Informar o valor da unidade de medida por tipo de serviço</t>
  </si>
  <si>
    <r>
      <t xml:space="preserve">ANEXO ----  </t>
    </r>
    <r>
      <rPr>
        <b/>
        <sz val="18"/>
        <color indexed="10"/>
        <rFont val="Arial"/>
        <family val="2"/>
      </rPr>
      <t xml:space="preserve">do Pregão SRRF10 nº 20/2015
</t>
    </r>
    <r>
      <rPr>
        <b/>
        <sz val="18"/>
        <rFont val="Arial"/>
        <family val="2"/>
      </rPr>
      <t xml:space="preserve">MODELO DE PLANILHA DE CUSTOS E FORMAÇÃO DE PREÇOS </t>
    </r>
    <r>
      <rPr>
        <b/>
        <sz val="18"/>
        <color indexed="20"/>
        <rFont val="Arial"/>
        <family val="2"/>
      </rPr>
      <t xml:space="preserve"> </t>
    </r>
  </si>
  <si>
    <r>
      <t xml:space="preserve">Aviso-prévio indenizado     </t>
    </r>
    <r>
      <rPr>
        <b/>
        <sz val="8"/>
        <color indexed="10"/>
        <rFont val="Arial"/>
        <family val="2"/>
      </rPr>
      <t>Aviso-prévio indenizado     Cálculo do valor = {Rem/12 + 13º/12=(Rem/12)/12 + Férias/12=(Rem/12)/12 + (1/3xFérias)/12=1/3x[(Rem/12)/12]} x (30/30=1) x 5% de rotatividade anual - Os reflexos de 13º, F e 1/3F são referentes a 1 mês de APInd - Na prorrogação, poderão ser considerados 3 dias conforme Lei nº 12.506/2011, dependendo da análise do nº de ocorrências deste evento no período</t>
    </r>
  </si>
  <si>
    <r>
      <t xml:space="preserve">Aviso-prévio indenizado  </t>
    </r>
    <r>
      <rPr>
        <b/>
        <sz val="8"/>
        <color indexed="10"/>
        <rFont val="Arial"/>
        <family val="2"/>
      </rPr>
      <t>Cálculo do valor = {Rem/12 + 13º/12=(Rem/12)/12 + Férias/12=(Rem/12)/12 + (1/3xFérias)/12=1/3x[(Rem/12)/12]} x (30/30=1) x 5% de rotatividade anual - Os reflexos de 13º, F e 1/3F são referentes a 1 mês de APInd - Na prorrogação, poderão ser considerados 3 dias conforme Lei nº 12.506/2011, dependendo da análise do nº de ocorrências deste evento no período</t>
    </r>
  </si>
  <si>
    <r>
      <t xml:space="preserve">Aviso-prévio indenizado     </t>
    </r>
    <r>
      <rPr>
        <b/>
        <sz val="8"/>
        <color indexed="10"/>
        <rFont val="Arial"/>
        <family val="2"/>
      </rPr>
      <t>Cálculo do valor = {Rem/12 + 13º/12=(Rem/12)/12 + Férias/12=(Rem/12)/12 + (1/3xFérias)/12=1/3x[(Rem/12)/12]} x (30/30=1) x 5% de rotatividade anual - Os reflexos de 13º, F e 1/3F são referentes a 1 mês de APInd - Na prorrogação, poderão ser considerados 3 dias conforme Lei nº 12.506/2011, dependendo da análise do nº de ocorrências deste evento no período</t>
    </r>
  </si>
  <si>
    <t>11080.003234/2015-29</t>
  </si>
  <si>
    <r>
      <t xml:space="preserve">Dia: </t>
    </r>
    <r>
      <rPr>
        <b/>
        <sz val="10"/>
        <color indexed="10"/>
        <rFont val="Arial"/>
        <family val="2"/>
      </rPr>
      <t>30/12/2015 às 14h30min</t>
    </r>
  </si>
  <si>
    <t>Pregão SRRF10 nº 20/2015</t>
  </si>
  <si>
    <t>01/01/15 a 31/12/15 SEEAC/SINDASSEIO/RS 
(que engloba POA)</t>
  </si>
  <si>
    <t>1º de janeiro de 2015</t>
  </si>
  <si>
    <r>
      <t>Adicional de insalubridade</t>
    </r>
    <r>
      <rPr>
        <b/>
        <sz val="8"/>
        <rFont val="Arial"/>
        <family val="2"/>
      </rPr>
      <t xml:space="preserve"> </t>
    </r>
    <r>
      <rPr>
        <b/>
        <sz val="8"/>
        <color indexed="10"/>
        <rFont val="Arial"/>
        <family val="2"/>
      </rPr>
      <t>(20% do SB - cláusula 54 da CCT SINDASSEIO/POA 2015)</t>
    </r>
  </si>
  <si>
    <r>
      <t xml:space="preserve">      </t>
    </r>
    <r>
      <rPr>
        <b/>
        <sz val="9"/>
        <color indexed="10"/>
        <rFont val="Arial"/>
        <family val="2"/>
      </rPr>
      <t xml:space="preserve">B.1) Valor do auxílio-alimentação (clausula 23 da CCT 2015): </t>
    </r>
  </si>
  <si>
    <r>
      <t xml:space="preserve">Auxílio-alimentação  (vales, cesta básica, entre outros)   </t>
    </r>
    <r>
      <rPr>
        <b/>
        <sz val="8"/>
        <color indexed="10"/>
        <rFont val="Arial"/>
        <family val="2"/>
      </rPr>
      <t>Cálculo do valor = [(21xVA)x(1-</t>
    </r>
    <r>
      <rPr>
        <b/>
        <sz val="10"/>
        <color indexed="12"/>
        <rFont val="Arial"/>
        <family val="2"/>
      </rPr>
      <t>0,175</t>
    </r>
    <r>
      <rPr>
        <b/>
        <sz val="8"/>
        <color indexed="10"/>
        <rFont val="Arial"/>
        <family val="2"/>
      </rPr>
      <t>)]</t>
    </r>
  </si>
  <si>
    <r>
      <t xml:space="preserve">Seguro de vida </t>
    </r>
    <r>
      <rPr>
        <b/>
        <sz val="10"/>
        <color indexed="10"/>
        <rFont val="Arial"/>
        <family val="2"/>
      </rPr>
      <t xml:space="preserve">Cálculo do valor = R$ 5.000,00x0,1068% </t>
    </r>
    <r>
      <rPr>
        <b/>
        <sz val="10"/>
        <color indexed="12"/>
        <rFont val="Arial"/>
        <family val="2"/>
      </rPr>
      <t>Como não tem mais essa exigência na CCT não pode descontar do empregado</t>
    </r>
  </si>
  <si>
    <t>PREÇO MENSAL UNITÁRIO POR M²</t>
  </si>
  <si>
    <r>
      <t>ÁREA INTERNA - (Fórmulas exemplificativas de cálculo para área interna, alíneas "a" e "b" do inciso I do artigo 44; para as demais alíneas deverão ser incluídos novos campos na planilha com a metragem adequada).</t>
    </r>
    <r>
      <rPr>
        <b/>
        <sz val="11"/>
        <color indexed="12"/>
        <rFont val="Arial"/>
        <family val="2"/>
      </rPr>
      <t xml:space="preserve"> </t>
    </r>
    <r>
      <rPr>
        <b/>
        <sz val="12"/>
        <color indexed="12"/>
        <rFont val="Arial"/>
        <family val="2"/>
      </rPr>
      <t>Excluir esta observação</t>
    </r>
  </si>
  <si>
    <r>
      <t xml:space="preserve">ÁREA EXTERNA - (Fórmulas exemplificativas de cálculo para área externa, alíneas "a", "c" , "d" e "e" do inciso II do artigo 44; para as demais alíneas deverão ser incluídos novos campos na planilha com a metragem adequada). </t>
    </r>
    <r>
      <rPr>
        <b/>
        <sz val="12"/>
        <color indexed="12"/>
        <rFont val="Arial"/>
        <family val="2"/>
      </rPr>
      <t>Excluir esta observação</t>
    </r>
  </si>
  <si>
    <r>
      <t xml:space="preserve">ESQUADRIA EXTERNA - (Fórmulas exemplificativas de cálculo para esquadria externa, alíneas "b" e "c" do inciso III do artigo 44; para as demais alíneas deverão ser incluídos novos campos na planilha com a metragem adequada). </t>
    </r>
    <r>
      <rPr>
        <b/>
        <sz val="12"/>
        <color indexed="12"/>
        <rFont val="Arial"/>
        <family val="2"/>
      </rPr>
      <t>Excluir esta observação</t>
    </r>
  </si>
  <si>
    <t>(4) 
= (1 X 2 X 3)
Ki</t>
  </si>
  <si>
    <t>(4)                          = (1 X 2 X 3)                               Ke</t>
  </si>
  <si>
    <r>
      <t xml:space="preserve">* Caso as produtividades mínimas adotadas sejam diferentes, estes valores das planilhas, bem como os coeficientes deles decorrentes (Ki e Ke) deverão ser adequados à nova situação.
** Caso a relação entre serventes e encarregado seja diferente, os valores das planilhas, bem como os coeficientes deles decorrentes (Ki e Ke) deverão ser adequados à nova situação.
*** Frequência sugerida em horas por mês. Caso a frequência adotada em horas, por mês ou semestre, seja diferente, os valores, bem como os coeficientes deles decorrentes (Ki e Ke) deverão ser adequados à nova situação.   </t>
    </r>
    <r>
      <rPr>
        <b/>
        <sz val="12"/>
        <color indexed="10"/>
        <rFont val="Arial"/>
        <family val="2"/>
      </rPr>
      <t xml:space="preserve">(notas que devem ser retiradas da planilha) 
</t>
    </r>
    <r>
      <rPr>
        <sz val="10"/>
        <color indexed="10"/>
        <rFont val="Arial"/>
        <family val="2"/>
      </rPr>
      <t/>
    </r>
  </si>
  <si>
    <t xml:space="preserve">    ÁREA      (M²)</t>
  </si>
  <si>
    <t xml:space="preserve">                             SUBTOTAL                                                           (R$)</t>
  </si>
  <si>
    <t>Áreas internas - Pisos acarpetados</t>
  </si>
  <si>
    <t>Áreas internas - Pisos frios</t>
  </si>
  <si>
    <t>Áreas internas - Laboratórios</t>
  </si>
  <si>
    <t>Áreas internas - Almoxarifados/galpões</t>
  </si>
  <si>
    <t>Áreas internas - Oficinas</t>
  </si>
  <si>
    <t>Áreas internas - Áreas com espaços livres - saguão, hall e salão</t>
  </si>
  <si>
    <t>Áreas externas - Pisos pavimentados adjacentes/contíguos às edificações</t>
  </si>
  <si>
    <t>Áreas externas - Varrição de passeios e arruamentos</t>
  </si>
  <si>
    <t>Área externa - Pátios e áreas verdes com alta frequência</t>
  </si>
  <si>
    <t>Áreas externas - Pátios e áreas verdes com média frequência</t>
  </si>
  <si>
    <t>Áreas externas - Pátios e áreas verdes com baixa frequência</t>
  </si>
  <si>
    <t>Áreas externas - Coleta de detritos em pátio e áreas verdes com frequência diária</t>
  </si>
  <si>
    <t>Esquadrias externas - Face externa com exposição a situação de risco</t>
  </si>
  <si>
    <t>Áreas externas - Face externa sem exposição a situação de risco</t>
  </si>
  <si>
    <t>Áreas externas - Face interna</t>
  </si>
  <si>
    <t>Fachada envidraçada</t>
  </si>
  <si>
    <t>Áreas hospitalares e assemelhadas</t>
  </si>
  <si>
    <t>PRODUTIVIDADE</t>
  </si>
  <si>
    <t>PREÇO HOMEM-MÊS</t>
  </si>
  <si>
    <r>
      <t xml:space="preserve">LIMPEZA - Regime de Tributação: </t>
    </r>
    <r>
      <rPr>
        <b/>
        <sz val="18"/>
        <color indexed="12"/>
        <rFont val="Arial"/>
        <family val="2"/>
      </rPr>
      <t>Lucro Presumido</t>
    </r>
    <r>
      <rPr>
        <b/>
        <sz val="18"/>
        <color indexed="20"/>
        <rFont val="Arial"/>
        <family val="2"/>
      </rPr>
      <t xml:space="preserve"> </t>
    </r>
    <r>
      <rPr>
        <b/>
        <sz val="10"/>
        <color indexed="20"/>
        <rFont val="Arial"/>
        <family val="2"/>
      </rPr>
      <t>SLIDES - PREENCHIDO</t>
    </r>
  </si>
  <si>
    <r>
      <t xml:space="preserve">  </t>
    </r>
    <r>
      <rPr>
        <b/>
        <sz val="12"/>
        <rFont val="Arial"/>
        <family val="2"/>
      </rPr>
      <t>b) PIS</t>
    </r>
    <r>
      <rPr>
        <b/>
        <sz val="10"/>
        <rFont val="Arial"/>
        <family val="2"/>
      </rPr>
      <t xml:space="preserve"> </t>
    </r>
    <r>
      <rPr>
        <sz val="9"/>
        <color indexed="10"/>
        <rFont val="Arial"/>
        <family val="2"/>
      </rPr>
      <t>(depende do regime de tributação - utilizada a hipótese de Lucro Presumido)</t>
    </r>
  </si>
  <si>
    <r>
      <t xml:space="preserve">  </t>
    </r>
    <r>
      <rPr>
        <b/>
        <sz val="12"/>
        <rFont val="Arial"/>
        <family val="2"/>
      </rPr>
      <t>a) Cofins</t>
    </r>
    <r>
      <rPr>
        <b/>
        <sz val="10"/>
        <rFont val="Arial"/>
        <family val="2"/>
      </rPr>
      <t xml:space="preserve">  </t>
    </r>
    <r>
      <rPr>
        <sz val="8"/>
        <color indexed="10"/>
        <rFont val="Arial"/>
        <family val="2"/>
      </rPr>
      <t>(depende do regime de tributação - utilizada a hipótese de Lucro Presumido)</t>
    </r>
  </si>
  <si>
    <r>
      <t xml:space="preserve">13º (décimo terceiro) salário  </t>
    </r>
    <r>
      <rPr>
        <b/>
        <sz val="9"/>
        <color indexed="10"/>
        <rFont val="Arial"/>
        <family val="2"/>
      </rPr>
      <t xml:space="preserve">Obrigatória a cotação de  8,33% sobre o valor do Módulo 1 - Composição da remuneração, conforme art. 19-A e Anexo VII da IN 2/08 </t>
    </r>
  </si>
  <si>
    <r>
      <t xml:space="preserve">ANEXO ----  </t>
    </r>
    <r>
      <rPr>
        <b/>
        <sz val="18"/>
        <color indexed="10"/>
        <rFont val="Arial"/>
        <family val="2"/>
      </rPr>
      <t>do Pregão SRRF10 nº 20/2015 -</t>
    </r>
    <r>
      <rPr>
        <b/>
        <sz val="18"/>
        <color indexed="12"/>
        <rFont val="Arial"/>
        <family val="2"/>
      </rPr>
      <t xml:space="preserve"> 40% de insalubridade</t>
    </r>
    <r>
      <rPr>
        <b/>
        <sz val="18"/>
        <color indexed="10"/>
        <rFont val="Arial"/>
        <family val="2"/>
      </rPr>
      <t xml:space="preserve">
</t>
    </r>
    <r>
      <rPr>
        <b/>
        <sz val="18"/>
        <rFont val="Arial"/>
        <family val="2"/>
      </rPr>
      <t xml:space="preserve">MODELO DE PLANILHA DE CUSTOS E FORMAÇÃO DE PREÇOS </t>
    </r>
    <r>
      <rPr>
        <b/>
        <sz val="18"/>
        <color indexed="20"/>
        <rFont val="Arial"/>
        <family val="2"/>
      </rPr>
      <t xml:space="preserve"> </t>
    </r>
  </si>
  <si>
    <r>
      <t>Equipamentos</t>
    </r>
    <r>
      <rPr>
        <b/>
        <sz val="10"/>
        <color indexed="12"/>
        <rFont val="Arial"/>
        <family val="2"/>
      </rPr>
      <t xml:space="preserve">                               </t>
    </r>
    <r>
      <rPr>
        <b/>
        <sz val="10"/>
        <color indexed="10"/>
        <rFont val="Arial"/>
        <family val="2"/>
      </rPr>
      <t xml:space="preserve"> (OBS: não pode utilizar créditos no Lucro Presumido)</t>
    </r>
  </si>
  <si>
    <r>
      <t>Materiais</t>
    </r>
    <r>
      <rPr>
        <b/>
        <sz val="10"/>
        <color indexed="12"/>
        <rFont val="Arial"/>
        <family val="2"/>
      </rPr>
      <t xml:space="preserve">                                        </t>
    </r>
    <r>
      <rPr>
        <b/>
        <sz val="10"/>
        <color indexed="10"/>
        <rFont val="Arial"/>
        <family val="2"/>
      </rPr>
      <t xml:space="preserve">   (OBS: não pode utilizar créditos no Lucro Presumido)</t>
    </r>
  </si>
  <si>
    <r>
      <t xml:space="preserve">* Caso as produtividades mínimas adotadas sejam diferentes, estes valores das planilhas, bem como os coefecientes deles decorrentes (Ki e Ke) deverão ser adequados à nova situação.
** Caso a relação entre serventes e encarregado seja diferente, os valores das planilhas, bem como os coefecientes deles decorrentes (Ki e Ke) deverão ser adequados à nova situação.
*** Frequência sugerida em horas por mês. Caso a frequência adotada em horas, por mês ou semestre, seja diferente, os valores, bem como os coefecientes deles decorrentes (Ki e Ke) deverão ser adequados à nova situação.                                                                                                  </t>
    </r>
    <r>
      <rPr>
        <b/>
        <sz val="14"/>
        <color indexed="10"/>
        <rFont val="Arial"/>
        <family val="2"/>
      </rPr>
      <t xml:space="preserve">(notas que devem ser retiradas da planilha) </t>
    </r>
    <r>
      <rPr>
        <b/>
        <sz val="10"/>
        <rFont val="Arial"/>
        <family val="2"/>
      </rPr>
      <t/>
    </r>
  </si>
  <si>
    <r>
      <t xml:space="preserve">LIMPEZA - Regime de Tributação: </t>
    </r>
    <r>
      <rPr>
        <b/>
        <sz val="18"/>
        <color indexed="12"/>
        <rFont val="Arial"/>
        <family val="2"/>
      </rPr>
      <t>Anexo IV</t>
    </r>
    <r>
      <rPr>
        <b/>
        <sz val="18"/>
        <color indexed="20"/>
        <rFont val="Arial"/>
        <family val="2"/>
      </rPr>
      <t xml:space="preserve"> </t>
    </r>
    <r>
      <rPr>
        <b/>
        <sz val="10"/>
        <color indexed="20"/>
        <rFont val="Arial"/>
        <family val="2"/>
      </rPr>
      <t>SLIDES - PREENCHIDO</t>
    </r>
  </si>
  <si>
    <r>
      <t>Materiais</t>
    </r>
    <r>
      <rPr>
        <b/>
        <sz val="10"/>
        <color indexed="12"/>
        <rFont val="Arial"/>
        <family val="2"/>
      </rPr>
      <t xml:space="preserve">                                        </t>
    </r>
    <r>
      <rPr>
        <b/>
        <sz val="10"/>
        <color indexed="10"/>
        <rFont val="Arial"/>
        <family val="2"/>
      </rPr>
      <t xml:space="preserve">   (OBS: não pode utilizar créditos no Simples Nacional)</t>
    </r>
  </si>
  <si>
    <r>
      <t xml:space="preserve">  </t>
    </r>
    <r>
      <rPr>
        <b/>
        <sz val="12"/>
        <rFont val="Arial"/>
        <family val="2"/>
      </rPr>
      <t>a) Cofins</t>
    </r>
    <r>
      <rPr>
        <b/>
        <sz val="10"/>
        <rFont val="Arial"/>
        <family val="2"/>
      </rPr>
      <t xml:space="preserve">  </t>
    </r>
    <r>
      <rPr>
        <sz val="8"/>
        <color indexed="10"/>
        <rFont val="Arial"/>
        <family val="2"/>
      </rPr>
      <t>(depende do regime de tributação e do faturamento acumulado dos últimos 12 meses - utilizada a hipótese de Simples - Anexo IV)</t>
    </r>
  </si>
  <si>
    <r>
      <t xml:space="preserve">  </t>
    </r>
    <r>
      <rPr>
        <b/>
        <sz val="12"/>
        <rFont val="Arial"/>
        <family val="2"/>
      </rPr>
      <t>b) PIS</t>
    </r>
    <r>
      <rPr>
        <b/>
        <sz val="10"/>
        <rFont val="Arial"/>
        <family val="2"/>
      </rPr>
      <t xml:space="preserve"> </t>
    </r>
    <r>
      <rPr>
        <sz val="9"/>
        <color indexed="10"/>
        <rFont val="Arial"/>
        <family val="2"/>
      </rPr>
      <t>(depende do regime de tributação e do faturamento acumulado dos últimos 12 meses - utilizada a hipótese de Simples - Anexo IV)</t>
    </r>
  </si>
  <si>
    <r>
      <t xml:space="preserve">  </t>
    </r>
    <r>
      <rPr>
        <b/>
        <sz val="12"/>
        <rFont val="Arial"/>
        <family val="2"/>
      </rPr>
      <t xml:space="preserve">a) ISS </t>
    </r>
    <r>
      <rPr>
        <b/>
        <sz val="10"/>
        <rFont val="Arial"/>
        <family val="2"/>
      </rPr>
      <t xml:space="preserve"> </t>
    </r>
    <r>
      <rPr>
        <sz val="10"/>
        <color indexed="10"/>
        <rFont val="Arial"/>
        <family val="2"/>
      </rPr>
      <t xml:space="preserve">(depende do regime de tributação e do faturamento acumulado dos últimos 12 meses - utilizada a hipótese de Simples - Anexo IV </t>
    </r>
    <r>
      <rPr>
        <sz val="10"/>
        <color indexed="10"/>
        <rFont val="Arial"/>
        <family val="2"/>
      </rPr>
      <t>da Lei Complementar nº 123/2006)</t>
    </r>
  </si>
  <si>
    <r>
      <t xml:space="preserve">* Caso as produtividades mínimas adotadas sejam diferentes, estes valores das planilhas, bem como os coefecientes deles decorrentes (Ki e Ke) deverão ser adequados à nova situação.
** Caso a relação entre serventes e encarregado seja diferente, os valores das planilhas, bem como os coefecientes deles decorrentes (Ki e Ke) deverão ser adequados à nova situação.
*** Frequência sugerida em horas por mês. Caso a frequência adotada em horas, por mês ou semestre, seja diferente, os valores, bem como os coefecientes deles decorrentes (Ki e Ke) deverão ser adequados à nova situação.                                                                                                    </t>
    </r>
    <r>
      <rPr>
        <b/>
        <sz val="14"/>
        <color indexed="10"/>
        <rFont val="Arial"/>
        <family val="2"/>
      </rPr>
      <t xml:space="preserve">(notas que devem ser retiradas da planilha) </t>
    </r>
  </si>
  <si>
    <t>TOTAL DAS OUTRAS ÁREAS (ESPECIFICAR)</t>
  </si>
  <si>
    <r>
      <t xml:space="preserve">                                                                                                     </t>
    </r>
    <r>
      <rPr>
        <b/>
        <sz val="10"/>
        <color indexed="10"/>
        <rFont val="Arial"/>
        <family val="2"/>
      </rPr>
      <t>TOTAL DAS ÁREAS HOSPITALARES</t>
    </r>
  </si>
  <si>
    <t>a) Outras áreas (especificar)</t>
  </si>
  <si>
    <t>b) Áreas externas - Varrição de passeios e arruamentos</t>
  </si>
  <si>
    <t>c) Área externa - Pátios e áreas verdes com alta frequência</t>
  </si>
  <si>
    <t>d) Áreas externas - Pátios e áreas verdes com média frequência</t>
  </si>
  <si>
    <t>e) Áreas externas - Pátios e áreas verdes com baixa frequência</t>
  </si>
  <si>
    <t>f) Áreas externas - Coleta de detritos em pátio e áreas verdes com frequência diária</t>
  </si>
  <si>
    <t>b) Áreas externas - Face externa sem exposição a situação de risco</t>
  </si>
  <si>
    <t>c) Áreas externas - Face interna</t>
  </si>
  <si>
    <r>
      <t xml:space="preserve">LIMPEZA - Regime de Tributação: </t>
    </r>
    <r>
      <rPr>
        <b/>
        <sz val="18"/>
        <color indexed="12"/>
        <rFont val="Arial"/>
        <family val="2"/>
      </rPr>
      <t>Lucro Real</t>
    </r>
    <r>
      <rPr>
        <b/>
        <sz val="18"/>
        <color indexed="20"/>
        <rFont val="Arial"/>
        <family val="2"/>
      </rPr>
      <t xml:space="preserve"> </t>
    </r>
    <r>
      <rPr>
        <b/>
        <sz val="10"/>
        <color indexed="20"/>
        <rFont val="Arial"/>
        <family val="2"/>
      </rPr>
      <t>SLIDES - PREENCHIDO</t>
    </r>
  </si>
  <si>
    <t>Módulo 2 - Benefícios mensais e diários</t>
  </si>
  <si>
    <t>Módulo 3 - Insumo diversos (uniformes, materiais, equipamentos e outros)</t>
  </si>
  <si>
    <t>Módulo 5 - Custos indiretos, lucro e tributos</t>
  </si>
  <si>
    <t>VALOR TOTAL POR EMPREGADO</t>
  </si>
  <si>
    <r>
      <t xml:space="preserve">ANEXO </t>
    </r>
    <r>
      <rPr>
        <b/>
        <sz val="12"/>
        <color indexed="10"/>
        <rFont val="Arial"/>
        <family val="2"/>
      </rPr>
      <t>-------</t>
    </r>
    <r>
      <rPr>
        <b/>
        <sz val="12"/>
        <rFont val="Arial"/>
        <family val="2"/>
      </rPr>
      <t>C
Quadro-Resumo do valor mensal dos serviços</t>
    </r>
  </si>
  <si>
    <t>VALOR MENSAL DOS SERVIÇOS (I+ II +...)</t>
  </si>
  <si>
    <r>
      <t xml:space="preserve">ANEXO </t>
    </r>
    <r>
      <rPr>
        <b/>
        <sz val="12"/>
        <color indexed="10"/>
        <rFont val="Arial"/>
        <family val="2"/>
      </rPr>
      <t>-----</t>
    </r>
    <r>
      <rPr>
        <b/>
        <sz val="12"/>
        <rFont val="Arial"/>
        <family val="2"/>
      </rPr>
      <t>D
Quadro demonstrativo do valor global da proposta</t>
    </r>
  </si>
  <si>
    <t>Valor Global da Proposta</t>
  </si>
  <si>
    <t>Nota: Informar o valor da unidade de medida por tipo de serviço.</t>
  </si>
  <si>
    <t>PREÇO MENSAL UNITÁRIO POR M² (metro quadrado)</t>
  </si>
  <si>
    <t>VALOR MENSAL DOS SERVIÇOS</t>
  </si>
  <si>
    <r>
      <t xml:space="preserve">Ausência por acidente de trabalho    </t>
    </r>
    <r>
      <rPr>
        <b/>
        <sz val="10"/>
        <color indexed="10"/>
        <rFont val="Arial"/>
        <family val="2"/>
      </rPr>
      <t>Cálculo do valor  = {[(Rem/30)x15dias]/12}x0,78%</t>
    </r>
  </si>
  <si>
    <r>
      <t xml:space="preserve">Ausência por acidente de trabalho   </t>
    </r>
    <r>
      <rPr>
        <b/>
        <sz val="9"/>
        <color indexed="10"/>
        <rFont val="Arial"/>
        <family val="2"/>
      </rPr>
      <t>Cálculo do valor  = {[(</t>
    </r>
    <r>
      <rPr>
        <b/>
        <sz val="9"/>
        <color indexed="12"/>
        <rFont val="Arial"/>
        <family val="2"/>
      </rPr>
      <t>BCCPA</t>
    </r>
    <r>
      <rPr>
        <b/>
        <sz val="9"/>
        <color indexed="10"/>
        <rFont val="Arial"/>
        <family val="2"/>
      </rPr>
      <t>/30)x15dias]/12}x0,78%</t>
    </r>
    <r>
      <rPr>
        <b/>
        <sz val="10"/>
        <color indexed="10"/>
        <rFont val="Arial"/>
        <family val="2"/>
      </rPr>
      <t xml:space="preserve">   </t>
    </r>
  </si>
  <si>
    <t>Mão de obra vinculada à execução contratual (valor por empregado)</t>
  </si>
  <si>
    <t>Subtotal (A + B + C + D)</t>
  </si>
  <si>
    <t>Valor proposto por empregado 
(B)</t>
  </si>
  <si>
    <t>Tipo de serviço 
(A)</t>
  </si>
  <si>
    <t>Quantidade de empregados por posto 
(C)</t>
  </si>
  <si>
    <t>Valor proposto por posto
(D) = (B x C)</t>
  </si>
  <si>
    <t>Quantidade de postos 
(E)</t>
  </si>
  <si>
    <t>Valor total do serviço 
(F) = (D x E)</t>
  </si>
  <si>
    <t>I             Serviço 1 (indicar)</t>
  </si>
  <si>
    <t>Descrição</t>
  </si>
  <si>
    <t>Valor mensal do serviço</t>
  </si>
  <si>
    <t>Data base da categoria (dia/mês/ano)</t>
  </si>
  <si>
    <t>Outros (especificar)</t>
  </si>
  <si>
    <t>Valor (R$)</t>
  </si>
  <si>
    <t>INSS</t>
  </si>
  <si>
    <t>SESI ou SESC</t>
  </si>
  <si>
    <t>SENAI ou SENAC</t>
  </si>
  <si>
    <t>INCRA</t>
  </si>
  <si>
    <t>FGTS</t>
  </si>
  <si>
    <t>SEBRAE</t>
  </si>
  <si>
    <t>TOTAL</t>
  </si>
  <si>
    <t>(2) FREQUÊNCIA NO MÊS (HORAS)</t>
  </si>
  <si>
    <t>TIPO DE ÁREA</t>
  </si>
  <si>
    <t>PREÇO MENSAL UNITÁRIO (R$/M²)</t>
  </si>
  <si>
    <t>Insalubridade</t>
  </si>
  <si>
    <t>Periculosidade</t>
  </si>
  <si>
    <t>Horas/mês</t>
  </si>
  <si>
    <t>Sal. Norm.</t>
  </si>
  <si>
    <t>Ad. Not.</t>
  </si>
  <si>
    <t>R$/Hora</t>
  </si>
  <si>
    <t>R$/pass</t>
  </si>
  <si>
    <t>Dias úteis/mês</t>
  </si>
  <si>
    <t>Aliment.</t>
  </si>
  <si>
    <t>(3)
 JORNADA DE TRABALHO NO MÊS
 (HORAS)</t>
  </si>
  <si>
    <t>(1) 
PRODUTIVIDADE
(1/M²)</t>
  </si>
  <si>
    <t>(2)
PREÇO HOMEM-MÊS                   (R$)</t>
  </si>
  <si>
    <t>(1 X 2)
SUBTOTAL
(R$/M²)</t>
  </si>
  <si>
    <t>(1)
PRODUTIVIDADE
(1/M²)</t>
  </si>
  <si>
    <t>(2)
PREÇO HOMEM-MÊS
(R$)</t>
  </si>
  <si>
    <t>1/191,4</t>
  </si>
  <si>
    <t>Servente</t>
  </si>
  <si>
    <t>Encarregado</t>
  </si>
  <si>
    <t>% Adic HE</t>
  </si>
  <si>
    <t>Nr. HE Mês</t>
  </si>
  <si>
    <t>Quantidade de Pessoal</t>
  </si>
  <si>
    <t>Ver relação na apostila</t>
  </si>
  <si>
    <t xml:space="preserve">Quantidade </t>
  </si>
  <si>
    <t>Dados complementares para composição dos custos referente à mão de obra</t>
  </si>
  <si>
    <t>Complemento dos serviços de limpeza e conservação</t>
  </si>
  <si>
    <t>MÃO DE OBRA</t>
  </si>
  <si>
    <t>Especificação  do Material/Máquina/Equipamento</t>
  </si>
  <si>
    <t>IV - MATERIAIS, MÁQUINAS E EQUIPAMENTOS ALOCADOS NA EXECUÇÃO CONTRATUAL  (inciso VI do art. 21 da IN 2/2008 e item 6.5.4.f do edital)</t>
  </si>
  <si>
    <t>Tipo de Mão de Obra</t>
  </si>
  <si>
    <t>a) Áreas internas - Pisos acarpetados</t>
  </si>
  <si>
    <t>b) Áreas internas - Pisos frios</t>
  </si>
  <si>
    <t>c) Áreas internas - Laboratórios</t>
  </si>
  <si>
    <t>d) Áreas internas - Almoxarifados/galpões</t>
  </si>
  <si>
    <t>e) Áreas internas - Oficinas</t>
  </si>
  <si>
    <t>f) Áreas internas - Áreas com espaços livres - saguão, hall e salão</t>
  </si>
  <si>
    <t>TOTAL DA ÁREA INTERNA</t>
  </si>
  <si>
    <t>a) Áreas externas - Pisos pavimentados adjacentes/contíguos às edificações</t>
  </si>
  <si>
    <t>b) Áreas externas -  Varrição de passeios e arruamentos</t>
  </si>
  <si>
    <t>c) Áreas externas -  Pátios com áreas verdes com alta frequência</t>
  </si>
  <si>
    <t>d) Áreas externas -  Pátios com áreas verdes com média frequência</t>
  </si>
  <si>
    <t>e) Áreas externas -  Pátios com áreas verdes com baixa frequência</t>
  </si>
  <si>
    <t>f) Áreas externas -  Coleta de detritos em pátios e áreas verdes com frequência diária</t>
  </si>
  <si>
    <t>TOTAL DA ÁREA EXTERNA</t>
  </si>
  <si>
    <t>a) Esquadrias externas - Face externa com exposição a situação de risco</t>
  </si>
  <si>
    <t>b) Esquadrias externas - Face externa sem exposição a situação de risco</t>
  </si>
  <si>
    <t>c) Esquadrias externas - Face interna</t>
  </si>
  <si>
    <t>a) Áreas hospitalares e assemelhadas</t>
  </si>
  <si>
    <t xml:space="preserve"> 1/(30** x 600*)</t>
  </si>
  <si>
    <t>1/600*</t>
  </si>
  <si>
    <t>1/330*</t>
  </si>
  <si>
    <t xml:space="preserve"> 1/(30** x 1350*)</t>
  </si>
  <si>
    <t>1/1350*</t>
  </si>
  <si>
    <t xml:space="preserve"> 1/(30** x 1200*)</t>
  </si>
  <si>
    <t>1/1200*</t>
  </si>
  <si>
    <t xml:space="preserve"> 1/(30** x 800*)</t>
  </si>
  <si>
    <t>1/800*</t>
  </si>
  <si>
    <t>1/(30** x 1200*)</t>
  </si>
  <si>
    <t>1/(30** x 6000*)</t>
  </si>
  <si>
    <t>1/6000*</t>
  </si>
  <si>
    <t>1/(30** x 100000*)</t>
  </si>
  <si>
    <t>1/100000*</t>
  </si>
  <si>
    <t>MÃO DE OBRA / TIPO DE ÁREA (ENCARREGADO / TIPO DE ÁREA)                      (SERVENTE / TIPO DE ÁREA)</t>
  </si>
  <si>
    <t>(1)             PRODUTIVIDADE 
(1/M²)</t>
  </si>
  <si>
    <t>(5)                        PREÇO HOMEM-MÊS 
(R$)</t>
  </si>
  <si>
    <t>1/(30**x110)</t>
  </si>
  <si>
    <t>1/110*</t>
  </si>
  <si>
    <t>1/(30**x220)</t>
  </si>
  <si>
    <t>1/220*</t>
  </si>
  <si>
    <t>ÁREAS HOSPITALARES E ASSEMELHADAS</t>
  </si>
  <si>
    <t>1(30** x 330*)</t>
  </si>
  <si>
    <t>ÁREA               (M²)</t>
  </si>
  <si>
    <t>SUBTOTAL                                                           (R$)</t>
  </si>
  <si>
    <t>TOTAL DA ESQUADRIA EXTERNA</t>
  </si>
  <si>
    <t>TOTAL DAS ÁREAS HOSPITALES E ASSEMELHADAS</t>
  </si>
  <si>
    <t>Especificação dos Materiais/Máquinas/Equipamentos</t>
  </si>
  <si>
    <t>Enc. / Pátios e áreas verdes com média frequência</t>
  </si>
  <si>
    <t>a) Fachada envidraçada</t>
  </si>
  <si>
    <t>TOTAL DA ÁREA DA FACHADA ENVIDRAÇADA</t>
  </si>
  <si>
    <t>TOTAL DA ÁREA DA ESQUADRIA EXTERNA - FACE INTERNA/EXTERNA</t>
  </si>
  <si>
    <t>(1)             PRODUTIVIDADE (1/M²)</t>
  </si>
  <si>
    <t>(2) FREQUÊNCIA NO SEMESTRE (HORAS)</t>
  </si>
  <si>
    <t>(3)                                             JORNADA DE TRABALHO NO SEMESTRE (HORAS)</t>
  </si>
  <si>
    <t>(5) PREÇO HOMEM-MÊS (R$)</t>
  </si>
  <si>
    <t>(4 X 5)                       SUBTOTAL                            (R$/M²)</t>
  </si>
  <si>
    <t>FACHADA ENVIDRAÇADA - FACE EXTERNA</t>
  </si>
  <si>
    <t>TOTAL DA FACHADA ENVIDRAÇADA</t>
  </si>
  <si>
    <r>
      <t xml:space="preserve">Ausência por doença                            </t>
    </r>
    <r>
      <rPr>
        <b/>
        <sz val="10"/>
        <color indexed="10"/>
        <rFont val="Arial"/>
        <family val="2"/>
      </rPr>
      <t>Cálculo do valor = [(</t>
    </r>
    <r>
      <rPr>
        <b/>
        <sz val="10"/>
        <color indexed="12"/>
        <rFont val="Arial"/>
        <family val="2"/>
      </rPr>
      <t>BCCPA</t>
    </r>
    <r>
      <rPr>
        <b/>
        <sz val="10"/>
        <color indexed="10"/>
        <rFont val="Arial"/>
        <family val="2"/>
      </rPr>
      <t xml:space="preserve">/30)x5dias]/12       </t>
    </r>
  </si>
  <si>
    <r>
      <t xml:space="preserve">MÃO DE OBRA / TIPO DE ÁREA                                 </t>
    </r>
    <r>
      <rPr>
        <b/>
        <sz val="8"/>
        <rFont val="Arial"/>
        <family val="2"/>
      </rPr>
      <t>(ENCARREGADO / TIPO DE ÁREA)                                                        (SERVENTE / TIPO DE ÁREA)</t>
    </r>
  </si>
  <si>
    <t xml:space="preserve">Outros (especificar)  </t>
  </si>
  <si>
    <t>-</t>
  </si>
  <si>
    <t>Porto Alegre/RS</t>
  </si>
  <si>
    <t>ENC. / Pisos acarpetados</t>
  </si>
  <si>
    <t>SERV. / Pisos acarpetados</t>
  </si>
  <si>
    <t>ENC. / Pisos frios</t>
  </si>
  <si>
    <t>SERV. / Pisos frios</t>
  </si>
  <si>
    <t>SERV. / Laboratórios</t>
  </si>
  <si>
    <t>SERV. / Oficinas</t>
  </si>
  <si>
    <t>SERV. / Áreas com espaços livres - saguão, hall e salão</t>
  </si>
  <si>
    <t>SERV. / Pisos pavimentados adjacentes/contíguos às edificações</t>
  </si>
  <si>
    <t>SERV. / Varrição de passeios e arruamentos</t>
  </si>
  <si>
    <t>SERV. / Pátios e áreas verdes com alta frequência</t>
  </si>
  <si>
    <t>SERV. / Pátios e áreas verdes com média frequência</t>
  </si>
  <si>
    <t>SERV. / Pátios e áreas verdes com baixa frequência</t>
  </si>
  <si>
    <t>SERV. / Coleta de detritos em pátio e áreas verdes com frequência diária</t>
  </si>
  <si>
    <t>SERV. / Face externa com exposição a situação de risco</t>
  </si>
  <si>
    <t>SERV. / Face externa sem exposição a situação de risco</t>
  </si>
  <si>
    <t>SERV. / Face interna</t>
  </si>
  <si>
    <t>ENC. / Laboratórios</t>
  </si>
  <si>
    <t xml:space="preserve">ENC. / Almoxaridados/galpões </t>
  </si>
  <si>
    <t>ENC. / Oficinas</t>
  </si>
  <si>
    <t>ENC. / Áreas com espaços livres - saguão, hall e salão</t>
  </si>
  <si>
    <t>ENC. / Pisos pavimentados adjacentes/contíguos às edificações</t>
  </si>
  <si>
    <t>ENC. / Varrição de passeios e arruamentos</t>
  </si>
  <si>
    <t>ENC. / pátios e áreas verdes com alta frequência</t>
  </si>
  <si>
    <t>ENC. / Pátios e áreas verdes com baixa frequência</t>
  </si>
  <si>
    <t>ENC. / Coleta de detritos em pátio e áreas verdes com frequência diária</t>
  </si>
  <si>
    <t>ENC. / Face externa com exposição a situação de risco</t>
  </si>
  <si>
    <t>ENC. / Face externa sem exposição a situação de risco</t>
  </si>
  <si>
    <t>ENC. / Face interna</t>
  </si>
  <si>
    <r>
      <t xml:space="preserve">MÃO DE OBRA / TIPO DE ÁREA </t>
    </r>
    <r>
      <rPr>
        <b/>
        <sz val="8"/>
        <rFont val="Arial"/>
        <family val="2"/>
      </rPr>
      <t>(ENCARREGADO / TIPO DE ÁREA)</t>
    </r>
    <r>
      <rPr>
        <b/>
        <sz val="9"/>
        <rFont val="Arial"/>
        <family val="2"/>
      </rPr>
      <t xml:space="preserve">                                                      (SERVENTE / TIPO DE ÁREA)</t>
    </r>
  </si>
  <si>
    <t>Discriminação dos Serviços (dados referentes à contratação)</t>
  </si>
  <si>
    <t>A</t>
  </si>
  <si>
    <t>Data de apresentação da proposta (dia/mês/ano)</t>
  </si>
  <si>
    <t>B</t>
  </si>
  <si>
    <t>Município/UF</t>
  </si>
  <si>
    <t>C</t>
  </si>
  <si>
    <t>D</t>
  </si>
  <si>
    <t>Número de meses de execução contratual</t>
  </si>
  <si>
    <t>Identificação do Serviço</t>
  </si>
  <si>
    <t xml:space="preserve">Quantidade total a contratar (em função da unidade de medida) </t>
  </si>
  <si>
    <t>m2</t>
  </si>
  <si>
    <t xml:space="preserve">TOTAL GERAL </t>
  </si>
  <si>
    <t>Tipo de serviço (mesmo serviço com características distintas)</t>
  </si>
  <si>
    <t xml:space="preserve"> limpeza e conservação</t>
  </si>
  <si>
    <t>E</t>
  </si>
  <si>
    <t>F</t>
  </si>
  <si>
    <t>G</t>
  </si>
  <si>
    <t>H</t>
  </si>
  <si>
    <t>MÓDULO 2 : BENEFÍCIOS MENSAIS E DIÁRIOS</t>
  </si>
  <si>
    <t>Assistência médica e familiar</t>
  </si>
  <si>
    <t>MÓDULO 3: INSUMOS DIVERSOS</t>
  </si>
  <si>
    <t>4.1</t>
  </si>
  <si>
    <t>4.2</t>
  </si>
  <si>
    <t>Subtotal</t>
  </si>
  <si>
    <t>4.3</t>
  </si>
  <si>
    <t>4.4</t>
  </si>
  <si>
    <t>4.5</t>
  </si>
  <si>
    <t>0.00</t>
  </si>
  <si>
    <t>4.6</t>
  </si>
  <si>
    <t>Afastamento maternidade</t>
  </si>
  <si>
    <t>Custo de rescisão</t>
  </si>
  <si>
    <t>Custo de reposição do profissional ausente</t>
  </si>
  <si>
    <t>Lucro</t>
  </si>
  <si>
    <t>Tributos</t>
  </si>
  <si>
    <t>Cálculo dos Tributos</t>
  </si>
  <si>
    <t xml:space="preserve"> = ( --------------------------------------------------------- ) x Alíquota do Tributo</t>
  </si>
  <si>
    <t xml:space="preserve">                                         Base de Cálculo para os Tributos</t>
  </si>
  <si>
    <t xml:space="preserve">                                  1 - (Total de Tributos em % dividido por 100)</t>
  </si>
  <si>
    <t>Nº do processo:</t>
  </si>
  <si>
    <t>Licitação nº:</t>
  </si>
  <si>
    <t xml:space="preserve">                                                                     MÓDULO 1: COMPOSIÇÃO DA REMUNERAÇÃO</t>
  </si>
  <si>
    <t>Auxílio-creche</t>
  </si>
  <si>
    <t>Nota: o valor informado deverá ser o custo real do insumo (descontado o valor eventualmente pago pelo empregado).</t>
  </si>
  <si>
    <t>Salário educação</t>
  </si>
  <si>
    <t xml:space="preserve">Percentual Total e Valor Total de Tributos  </t>
  </si>
  <si>
    <t>...          Serviço ... (indicar)</t>
  </si>
  <si>
    <t>II           Serviço 2 (indicar)</t>
  </si>
  <si>
    <t>R$</t>
  </si>
  <si>
    <r>
      <t xml:space="preserve">ANEXO </t>
    </r>
    <r>
      <rPr>
        <b/>
        <sz val="11"/>
        <color indexed="10"/>
        <rFont val="Arial"/>
        <family val="2"/>
      </rPr>
      <t>------</t>
    </r>
    <r>
      <rPr>
        <b/>
        <sz val="11"/>
        <rFont val="Arial"/>
        <family val="2"/>
      </rPr>
      <t>-C</t>
    </r>
  </si>
  <si>
    <t>OBS: OS ANEXOS ---C E ---D ABAIXO NÃO TÊM UTILIDADE PARA LIMPEZA E VIGILÂNCIA QUE POSSUEM COMPLEMENTO ESPECÍFICO - ASSIM, DEVEM SER EXCLUÍDOS PARA ESSES 2 OBJETOS</t>
  </si>
  <si>
    <t>IRPJ e CSLL (Não incluir esses tributos em face da proibição contida no item 9.1 do Acórdão TCU nº 950/2007-Plenário)</t>
  </si>
  <si>
    <t>16***</t>
  </si>
  <si>
    <t>1/(30**x220*)</t>
  </si>
  <si>
    <t xml:space="preserve"> 1/(30** x 330*)</t>
  </si>
  <si>
    <t>8***</t>
  </si>
  <si>
    <t>1/(4**x110*)</t>
  </si>
  <si>
    <t>Número de meses do contrato</t>
  </si>
  <si>
    <r>
      <t xml:space="preserve">Valor global da proposta </t>
    </r>
    <r>
      <rPr>
        <b/>
        <sz val="10"/>
        <rFont val="Arial"/>
        <family val="2"/>
      </rPr>
      <t>(valor mensal do serviço x nº de meses do contrato)</t>
    </r>
  </si>
  <si>
    <t>1/1.148,4</t>
  </si>
  <si>
    <t>BASE DE CÁLCULO DOS CUSTOS INDIRETOS  = (Total da Remuneração + Total dos Benefícios Mensais e Diários + Total de Insumos Diversos + Total do Quadro-resumo do Módulo 4 de Encargos Sociais e Trabalhistas)</t>
  </si>
  <si>
    <t>BASE DE CÁLCULO DO LUCRO = (Total da Remuneração + Total dos Benefícios Mensais e Diários + Total de Insumos Diversos + Total do Quadro-resumo do Módulo 4 de Encargos Sociais e Trabalhistas + Custos Indiretos)</t>
  </si>
  <si>
    <t>SERV./Almoxaridados/galpões</t>
  </si>
  <si>
    <r>
      <t xml:space="preserve">QUANTIDADE DE PESSOAL ALOCADO NA EXECUÇÃO CONTRATUAL (inciso V do art. 21 da IN SLTI nº 2/2008 e </t>
    </r>
    <r>
      <rPr>
        <b/>
        <sz val="10"/>
        <color indexed="10"/>
        <rFont val="Arial"/>
        <family val="2"/>
      </rPr>
      <t>item 6.5.4."e" do edital</t>
    </r>
    <r>
      <rPr>
        <b/>
        <sz val="10"/>
        <rFont val="Arial"/>
        <family val="2"/>
      </rPr>
      <t>)</t>
    </r>
  </si>
  <si>
    <r>
      <t>Uniformes</t>
    </r>
    <r>
      <rPr>
        <b/>
        <sz val="10"/>
        <color indexed="12"/>
        <rFont val="Arial"/>
        <family val="2"/>
      </rPr>
      <t xml:space="preserve"> </t>
    </r>
  </si>
  <si>
    <r>
      <t>Materiais</t>
    </r>
    <r>
      <rPr>
        <b/>
        <sz val="10"/>
        <color indexed="12"/>
        <rFont val="Arial"/>
        <family val="2"/>
      </rPr>
      <t xml:space="preserve"> </t>
    </r>
  </si>
  <si>
    <r>
      <t>Equipamentos</t>
    </r>
    <r>
      <rPr>
        <b/>
        <sz val="10"/>
        <color indexed="12"/>
        <rFont val="Arial"/>
        <family val="2"/>
      </rPr>
      <t xml:space="preserve"> </t>
    </r>
  </si>
  <si>
    <t xml:space="preserve">Outros (especificar) </t>
  </si>
  <si>
    <t xml:space="preserve">Uniformes   </t>
  </si>
  <si>
    <t xml:space="preserve">Materiais  </t>
  </si>
  <si>
    <r>
      <t xml:space="preserve">Equipamentos </t>
    </r>
    <r>
      <rPr>
        <b/>
        <sz val="9"/>
        <color indexed="10"/>
        <rFont val="Arial"/>
        <family val="2"/>
      </rPr>
      <t xml:space="preserve"> </t>
    </r>
  </si>
  <si>
    <t>Uniformes</t>
  </si>
  <si>
    <r>
      <t xml:space="preserve"> MATERIAIS, MÁQUINAS E EQUIPAMENTOS ALOCADOS NA EXECUÇÃO CONTRATUAL  (inciso VI do art. 21 da IN SLTI nº 2/2008 e </t>
    </r>
    <r>
      <rPr>
        <b/>
        <sz val="10"/>
        <color indexed="10"/>
        <rFont val="Arial"/>
        <family val="2"/>
      </rPr>
      <t>item 6.5.4."f" do edital</t>
    </r>
    <r>
      <rPr>
        <b/>
        <sz val="10"/>
        <rFont val="Arial"/>
        <family val="2"/>
      </rPr>
      <t>)</t>
    </r>
  </si>
  <si>
    <t>Total da Remuneração</t>
  </si>
  <si>
    <t xml:space="preserve">Tipo de serviço: 
Limpeza e Conservação Predial                                                                                                   </t>
  </si>
  <si>
    <t>(6)
=(4 X 5) SUBTOTAL
 (R$/M²)</t>
  </si>
  <si>
    <t>MÓDULO 5 - CUSTOS INDIRETOS, LUCRO E TRIBUTOS</t>
  </si>
  <si>
    <r>
      <t xml:space="preserve">      </t>
    </r>
    <r>
      <rPr>
        <b/>
        <sz val="9"/>
        <color indexed="10"/>
        <rFont val="Arial"/>
        <family val="2"/>
      </rPr>
      <t xml:space="preserve">A.1) Valor da passagem do transporte coletivo no município de prestação dos serviços: </t>
    </r>
  </si>
  <si>
    <r>
      <t xml:space="preserve">     </t>
    </r>
    <r>
      <rPr>
        <b/>
        <sz val="9"/>
        <color indexed="10"/>
        <rFont val="Arial"/>
        <family val="2"/>
      </rPr>
      <t xml:space="preserve"> A.2) Quantidade de passagens por dia por empregado:</t>
    </r>
  </si>
  <si>
    <t>BASE DE CÁLCULO DOS TRIBUTOS = (Total da Remuneração + Total dos Benefícios Mensais e Diários + Total de Insumos Diversos + Total do Quadro-resumo do Módulo 4 de Encargos Sociais e Trabalhistas + Custos Indiretos + Lucro)</t>
  </si>
  <si>
    <r>
      <t xml:space="preserve">Afastamento maternidade              </t>
    </r>
    <r>
      <rPr>
        <b/>
        <sz val="10"/>
        <color indexed="10"/>
        <rFont val="Arial"/>
        <family val="2"/>
      </rPr>
      <t>Cálculo do valor = {[(Rem+1/3Rem)/12]x(4/12)}x2%</t>
    </r>
  </si>
  <si>
    <t>Nota: Deverá ser elaborado um quadro para cada tipo de serviço.</t>
  </si>
  <si>
    <t>Nota: Valores mensais por empregado.</t>
  </si>
  <si>
    <t xml:space="preserve">      servente de limpeza</t>
  </si>
  <si>
    <r>
      <t xml:space="preserve">Categoria profissional (vinculada à execução contratual) </t>
    </r>
    <r>
      <rPr>
        <b/>
        <sz val="10"/>
        <color indexed="12"/>
        <rFont val="Arial"/>
        <family val="2"/>
      </rPr>
      <t>- CBO: 5143</t>
    </r>
  </si>
  <si>
    <t>RAT =</t>
  </si>
  <si>
    <r>
      <t xml:space="preserve">Seguro acidente de trabalho (RAT x FAP)
</t>
    </r>
    <r>
      <rPr>
        <b/>
        <sz val="8"/>
        <color indexed="10"/>
        <rFont val="Arial"/>
        <family val="2"/>
      </rPr>
      <t>Cálculo do valor: % do RAT x FAP (Fator Acidentário de Prevenção de cada empresa)</t>
    </r>
  </si>
  <si>
    <t xml:space="preserve"> FAP =</t>
  </si>
  <si>
    <r>
      <t xml:space="preserve">Ausências legais                                                 </t>
    </r>
    <r>
      <rPr>
        <b/>
        <sz val="10"/>
        <color indexed="10"/>
        <rFont val="Arial"/>
        <family val="2"/>
      </rPr>
      <t>Cálculo do valor = [(Rem/30)x2,96dias]/12</t>
    </r>
  </si>
  <si>
    <r>
      <t xml:space="preserve">Licença-paternidade                                   </t>
    </r>
    <r>
      <rPr>
        <b/>
        <sz val="10"/>
        <color indexed="10"/>
        <rFont val="Arial"/>
        <family val="2"/>
      </rPr>
      <t>Cálculo do valor = {[(Rem/30)x5dias]/12}x1,5%</t>
    </r>
  </si>
  <si>
    <r>
      <t xml:space="preserve">Transporte                                               </t>
    </r>
    <r>
      <rPr>
        <b/>
        <sz val="10"/>
        <color indexed="10"/>
        <rFont val="Arial"/>
        <family val="2"/>
      </rPr>
      <t>Cálculo do valor: [(2xVTx21) – (6%xSB)]</t>
    </r>
  </si>
  <si>
    <r>
      <t xml:space="preserve">Ausência por doença                                        </t>
    </r>
    <r>
      <rPr>
        <b/>
        <sz val="10"/>
        <color indexed="10"/>
        <rFont val="Arial"/>
        <family val="2"/>
      </rPr>
      <t>Cálculo do valor = [(Rem/30)x5dias]/12</t>
    </r>
  </si>
  <si>
    <t>Submódulo 4.5 - Custo de reposição do profissional ausente</t>
  </si>
  <si>
    <t>Composição do custo de reposição do profissional ausente</t>
  </si>
  <si>
    <r>
      <t xml:space="preserve">Férias e terço constitucional de férias    </t>
    </r>
    <r>
      <rPr>
        <b/>
        <sz val="10"/>
        <color indexed="10"/>
        <rFont val="Arial"/>
        <family val="2"/>
      </rPr>
      <t>Cálculo do valor = [(Rem/12)+((Rem/3)/12)]</t>
    </r>
  </si>
  <si>
    <t>Ano do acordo coletivo, convenção coletiva ou sentença normativa em dissídio coletivo</t>
  </si>
  <si>
    <t>Unidade
 de 
medida</t>
  </si>
  <si>
    <t>Nota 1 - Esta tabela poderá ser adaptada às características do serviço contratado, inclusive no que concerne às rubricas e suas respectivas provisões e/ou estimativas, desde que haja justificativa.
Nota 2 - As provisões constantes desta planilha poderão  ser desnecessárias quando se tratar de determinados serviços que prescindam da dedicação exclusiva dos trabalhadores da contratada para com a Administração.</t>
  </si>
  <si>
    <t xml:space="preserve">Composição da remuneração </t>
  </si>
  <si>
    <r>
      <t xml:space="preserve">Outros (especificar)                                            </t>
    </r>
    <r>
      <rPr>
        <b/>
        <sz val="10"/>
        <color indexed="12"/>
        <rFont val="Arial"/>
        <family val="2"/>
      </rPr>
      <t>(OBS: foi excluído o intervalo intrajornada)</t>
    </r>
  </si>
  <si>
    <t>Benefícios mensais e diários</t>
  </si>
  <si>
    <t>Total de benefícios mensais e diários</t>
  </si>
  <si>
    <t>Insumos diversos</t>
  </si>
  <si>
    <t>Total de insumos diversos</t>
  </si>
  <si>
    <r>
      <t xml:space="preserve">                                                                  MÓDULO 4: ENCARGOS SOCIAIS E TRABALHISTAS
                             </t>
    </r>
    <r>
      <rPr>
        <b/>
        <sz val="11"/>
        <rFont val="Arial"/>
        <family val="2"/>
      </rPr>
      <t>Submódulo 4.1 - Encargos previdenciários, FGTS e outras contribuições</t>
    </r>
  </si>
  <si>
    <t>Encargos previdenciários, FGTS e outras contribuições</t>
  </si>
  <si>
    <t>Percentual (%)</t>
  </si>
  <si>
    <t>Valor               (R$)</t>
  </si>
  <si>
    <t>Submódulo 4.2 - 13º (décimo terceiro) salário</t>
  </si>
  <si>
    <r>
      <t xml:space="preserve">13º (décimo terceiro) salário                                                          </t>
    </r>
    <r>
      <rPr>
        <b/>
        <sz val="10"/>
        <color indexed="10"/>
        <rFont val="Arial"/>
        <family val="2"/>
      </rPr>
      <t>Cálculo do valor = Rem/12</t>
    </r>
    <r>
      <rPr>
        <b/>
        <sz val="10"/>
        <rFont val="Arial"/>
        <family val="2"/>
      </rPr>
      <t xml:space="preserve">  </t>
    </r>
    <r>
      <rPr>
        <b/>
        <sz val="10"/>
        <color indexed="12"/>
        <rFont val="Arial"/>
        <family val="2"/>
      </rPr>
      <t xml:space="preserve">      </t>
    </r>
  </si>
  <si>
    <t xml:space="preserve">13º (décimo terceiro) salário </t>
  </si>
  <si>
    <t>Submódulo 4.3 - Afastamento maternidade</t>
  </si>
  <si>
    <t>Submódulo 4.4 - Provisão para rescisão</t>
  </si>
  <si>
    <t>Provisão para rescisão</t>
  </si>
  <si>
    <t>Incidência do FGTS sobre aviso-prévio indenizado</t>
  </si>
  <si>
    <t>Módulo 4 - Encargos sociais e trabalhistas</t>
  </si>
  <si>
    <t>Quadro-Resumo do Módulo 4 - Encargos sociais e trabalhistas</t>
  </si>
  <si>
    <t xml:space="preserve">Custos indiretos, lucro e tributos </t>
  </si>
  <si>
    <t>Custos indiretos</t>
  </si>
  <si>
    <t>C.1    Tributos federais (especificar)</t>
  </si>
  <si>
    <r>
      <t xml:space="preserve">  </t>
    </r>
    <r>
      <rPr>
        <b/>
        <sz val="12"/>
        <rFont val="Arial"/>
        <family val="2"/>
      </rPr>
      <t>a) Cofins</t>
    </r>
    <r>
      <rPr>
        <b/>
        <sz val="10"/>
        <rFont val="Arial"/>
        <family val="2"/>
      </rPr>
      <t xml:space="preserve">  </t>
    </r>
    <r>
      <rPr>
        <sz val="8.5"/>
        <color indexed="10"/>
        <rFont val="Arial"/>
        <family val="2"/>
      </rPr>
      <t>(depende do regime de tributação - utilizada a hipótese de Lucro Real)</t>
    </r>
  </si>
  <si>
    <r>
      <t xml:space="preserve">  </t>
    </r>
    <r>
      <rPr>
        <b/>
        <sz val="12"/>
        <rFont val="Arial"/>
        <family val="2"/>
      </rPr>
      <t>b) PIS</t>
    </r>
    <r>
      <rPr>
        <b/>
        <sz val="10"/>
        <rFont val="Arial"/>
        <family val="2"/>
      </rPr>
      <t xml:space="preserve"> </t>
    </r>
    <r>
      <rPr>
        <sz val="9"/>
        <color indexed="10"/>
        <rFont val="Arial"/>
        <family val="2"/>
      </rPr>
      <t>(depende do regime de tributação - utilizada a hipótese de Lucro Real)</t>
    </r>
  </si>
  <si>
    <r>
      <t xml:space="preserve">  </t>
    </r>
    <r>
      <rPr>
        <b/>
        <sz val="12"/>
        <rFont val="Arial"/>
        <family val="2"/>
      </rPr>
      <t xml:space="preserve">a) ISS </t>
    </r>
    <r>
      <rPr>
        <b/>
        <sz val="10"/>
        <rFont val="Arial"/>
        <family val="2"/>
      </rPr>
      <t xml:space="preserve">             </t>
    </r>
    <r>
      <rPr>
        <sz val="10"/>
        <color indexed="10"/>
        <rFont val="Arial"/>
        <family val="2"/>
      </rPr>
      <t>(Decreto Municipal POA nº 15.416/2006 - art. 96, § 1º, inc. II)</t>
    </r>
  </si>
  <si>
    <t>C.2   Tributos estaduais (especificar)</t>
  </si>
  <si>
    <t>C.3   Tributos municipais (especificar):</t>
  </si>
  <si>
    <t>Nota 1: Custos indiretos, lucro e tributos por empregado.
Nota 2: O valor referente a tributos é obtido aplicando-se o percentual sobre o valor do faturamento.</t>
  </si>
  <si>
    <r>
      <t>ANEXO -------B</t>
    </r>
    <r>
      <rPr>
        <b/>
        <sz val="10"/>
        <rFont val="Arial"/>
        <family val="2"/>
      </rPr>
      <t xml:space="preserve">
</t>
    </r>
    <r>
      <rPr>
        <b/>
        <sz val="11"/>
        <rFont val="Arial"/>
        <family val="2"/>
      </rPr>
      <t>Quadro-Resumo do custo por empregado</t>
    </r>
    <r>
      <rPr>
        <b/>
        <sz val="10"/>
        <rFont val="Arial"/>
        <family val="2"/>
      </rPr>
      <t xml:space="preserve">
</t>
    </r>
  </si>
  <si>
    <t>Módulo 1 - Composição da remuneração</t>
  </si>
  <si>
    <t>Percentual               (%)</t>
  </si>
  <si>
    <t xml:space="preserve">Valor              (R$) </t>
  </si>
  <si>
    <t>Nota 1: Os percentuais dos encargos previdenciários, do FGTS e demais contribuições são aqueles estabelecidos pela legislação vigente.
Nota 2: Percentuais incidentes sobre a remuneração.</t>
  </si>
  <si>
    <t>Valor            (R$)</t>
  </si>
  <si>
    <t>Valor global da proposta                                                                                                                                                              (valor mensal do serviço multiplicado pelo número de meses do contrato).</t>
  </si>
  <si>
    <t>Valor proposto por unidade de medida*</t>
  </si>
  <si>
    <r>
      <t>ÁREA INTERNA (Fórmulas exemplificativas de cálculo para área interna - alíneas "a" e "b" do inciso I do artigo 44; para as demais alíneas, deverão ser incluídos novos campos na planilha com a metragem adequada).</t>
    </r>
    <r>
      <rPr>
        <b/>
        <sz val="11"/>
        <color indexed="10"/>
        <rFont val="Arial"/>
        <family val="2"/>
      </rPr>
      <t xml:space="preserve">
</t>
    </r>
    <r>
      <rPr>
        <b/>
        <sz val="14"/>
        <color indexed="12"/>
        <rFont val="Arial"/>
        <family val="2"/>
      </rPr>
      <t>Excluir esta observação</t>
    </r>
    <r>
      <rPr>
        <b/>
        <sz val="14"/>
        <rFont val="Arial"/>
        <family val="2"/>
      </rPr>
      <t>)</t>
    </r>
  </si>
  <si>
    <r>
      <t xml:space="preserve">ÁREA EXTERNA (Fórmulas exemplificativas de cálculo para área externa - alíneas "a", "c" , "d" e "e" do inciso II do artigo 44; para as demais alíneas, deverão ser incluídos novos campos na planilha com a metragem adequada).
</t>
    </r>
    <r>
      <rPr>
        <b/>
        <sz val="14"/>
        <color indexed="12"/>
        <rFont val="Arial"/>
        <family val="2"/>
      </rPr>
      <t>Excluir esta observação)</t>
    </r>
  </si>
  <si>
    <r>
      <t xml:space="preserve">ANEXO ----  </t>
    </r>
    <r>
      <rPr>
        <b/>
        <sz val="16"/>
        <color indexed="10"/>
        <rFont val="Arial"/>
        <family val="2"/>
      </rPr>
      <t>do Pregão SRRF10 nº 20/2015</t>
    </r>
    <r>
      <rPr>
        <b/>
        <sz val="18"/>
        <color indexed="12"/>
        <rFont val="Arial"/>
        <family val="2"/>
      </rPr>
      <t xml:space="preserve">                                                      BCCPA</t>
    </r>
    <r>
      <rPr>
        <b/>
        <sz val="14"/>
        <color indexed="12"/>
        <rFont val="Arial"/>
        <family val="2"/>
      </rPr>
      <t>-CUSTO DO PROFISSIONAL AUSENTE</t>
    </r>
    <r>
      <rPr>
        <b/>
        <sz val="18"/>
        <color indexed="10"/>
        <rFont val="Arial"/>
        <family val="2"/>
      </rPr>
      <t xml:space="preserve">
</t>
    </r>
    <r>
      <rPr>
        <b/>
        <sz val="18"/>
        <rFont val="Arial"/>
        <family val="2"/>
      </rPr>
      <t xml:space="preserve">MODELO DE PLANILHA DE CUSTOS E FORMAÇÃO DE PREÇOS </t>
    </r>
    <r>
      <rPr>
        <b/>
        <sz val="18"/>
        <color indexed="20"/>
        <rFont val="Arial"/>
        <family val="2"/>
      </rPr>
      <t xml:space="preserve"> </t>
    </r>
  </si>
  <si>
    <t>Base de cálculo para o custo do profissional ausente (substituto): BCCPA = Rem + 13º + 1/3xFérias</t>
  </si>
  <si>
    <r>
      <t>Férias e terço constitucional de férias</t>
    </r>
    <r>
      <rPr>
        <b/>
        <sz val="10"/>
        <color indexed="10"/>
        <rFont val="Arial"/>
        <family val="2"/>
      </rPr>
      <t xml:space="preserve">   Cálculo do valor = [(</t>
    </r>
    <r>
      <rPr>
        <b/>
        <sz val="10"/>
        <color indexed="12"/>
        <rFont val="Arial"/>
        <family val="2"/>
      </rPr>
      <t>BCCPA</t>
    </r>
    <r>
      <rPr>
        <b/>
        <sz val="10"/>
        <color indexed="10"/>
        <rFont val="Arial"/>
        <family val="2"/>
      </rPr>
      <t>/12)+((</t>
    </r>
    <r>
      <rPr>
        <b/>
        <sz val="12"/>
        <color indexed="12"/>
        <rFont val="Arial"/>
        <family val="2"/>
      </rPr>
      <t>Rem</t>
    </r>
    <r>
      <rPr>
        <b/>
        <sz val="10"/>
        <color indexed="10"/>
        <rFont val="Arial"/>
        <family val="2"/>
      </rPr>
      <t xml:space="preserve">/3)/12)] </t>
    </r>
    <r>
      <rPr>
        <b/>
        <sz val="10"/>
        <color indexed="12"/>
        <rFont val="Arial"/>
        <family val="2"/>
      </rPr>
      <t xml:space="preserve">Obrigatório utilizar a mesma fórmula do cálculo do valor por ser conta vinculada  </t>
    </r>
    <r>
      <rPr>
        <b/>
        <sz val="10"/>
        <color indexed="10"/>
        <rFont val="Arial"/>
        <family val="2"/>
      </rPr>
      <t xml:space="preserve">                                                  </t>
    </r>
  </si>
  <si>
    <r>
      <t xml:space="preserve">Licença-paternidade                        </t>
    </r>
    <r>
      <rPr>
        <b/>
        <sz val="10"/>
        <color indexed="10"/>
        <rFont val="Arial"/>
        <family val="2"/>
      </rPr>
      <t>Cálculo do valor = {[(</t>
    </r>
    <r>
      <rPr>
        <b/>
        <sz val="10"/>
        <color indexed="12"/>
        <rFont val="Arial"/>
        <family val="2"/>
      </rPr>
      <t>BCCPA</t>
    </r>
    <r>
      <rPr>
        <b/>
        <sz val="10"/>
        <color indexed="10"/>
        <rFont val="Arial"/>
        <family val="2"/>
      </rPr>
      <t xml:space="preserve">/30)x5dias]/12}x1,5% </t>
    </r>
  </si>
  <si>
    <r>
      <t xml:space="preserve">Ausências legais                                        </t>
    </r>
    <r>
      <rPr>
        <b/>
        <sz val="10"/>
        <color indexed="10"/>
        <rFont val="Arial"/>
        <family val="2"/>
      </rPr>
      <t>Cálculo do valor = [(</t>
    </r>
    <r>
      <rPr>
        <b/>
        <sz val="10"/>
        <color indexed="12"/>
        <rFont val="Arial"/>
        <family val="2"/>
      </rPr>
      <t>BCCPA</t>
    </r>
    <r>
      <rPr>
        <b/>
        <sz val="10"/>
        <color indexed="10"/>
        <rFont val="Arial"/>
        <family val="2"/>
      </rPr>
      <t xml:space="preserve">/30)x2,96dias]/12  </t>
    </r>
  </si>
  <si>
    <r>
      <t xml:space="preserve">ESQUADRIA EXTERNA (Fórmulas exemplificativas de cálculo para esquadria externa - alíneas "b" e "c" do inciso III do artigo 44; para as demais alíneas, deverão ser incluídos novos campos na planilha com a metragem adequada).
</t>
    </r>
    <r>
      <rPr>
        <b/>
        <sz val="14"/>
        <color indexed="12"/>
        <rFont val="Arial"/>
        <family val="2"/>
      </rPr>
      <t>Excluir esta observação)</t>
    </r>
  </si>
  <si>
    <t>(4) 
= (1 X 2 X 3)
Ki****</t>
  </si>
  <si>
    <t>(4)                          = (1 X 2 X 3)                               Ke****</t>
  </si>
  <si>
    <t xml:space="preserve">Nota 1 - Esta tabela poderá ser adaptada às características do serviço contratado, inclusive no que concerne às rubricas e suas respectivas provisões e/ou estimativas, desde que haja justificativa.
Nota 2 - As provisões constantes desta planilha poderão  </t>
  </si>
  <si>
    <r>
      <t xml:space="preserve">LIMPEZA - Regime de Tributação: </t>
    </r>
    <r>
      <rPr>
        <b/>
        <sz val="18"/>
        <color indexed="12"/>
        <rFont val="Arial"/>
        <family val="2"/>
      </rPr>
      <t>Anexo III</t>
    </r>
    <r>
      <rPr>
        <b/>
        <sz val="18"/>
        <color indexed="20"/>
        <rFont val="Arial"/>
        <family val="2"/>
      </rPr>
      <t xml:space="preserve"> </t>
    </r>
    <r>
      <rPr>
        <b/>
        <sz val="10"/>
        <color indexed="20"/>
        <rFont val="Arial"/>
        <family val="2"/>
      </rPr>
      <t>SLIDES - PREENCHIDO</t>
    </r>
  </si>
  <si>
    <r>
      <t xml:space="preserve">  </t>
    </r>
    <r>
      <rPr>
        <b/>
        <sz val="12"/>
        <rFont val="Arial"/>
        <family val="2"/>
      </rPr>
      <t xml:space="preserve">a) ISS </t>
    </r>
    <r>
      <rPr>
        <b/>
        <sz val="10"/>
        <rFont val="Arial"/>
        <family val="2"/>
      </rPr>
      <t xml:space="preserve"> </t>
    </r>
    <r>
      <rPr>
        <sz val="10"/>
        <color indexed="10"/>
        <rFont val="Arial"/>
        <family val="2"/>
      </rPr>
      <t>(depende do regime de tributação e do faturamento acumulado dos últimos 12 meses - utilizada a hipótese de Simples - Anexo III da Lei Complementar nº 123/2006)</t>
    </r>
  </si>
  <si>
    <r>
      <t xml:space="preserve">  a</t>
    </r>
    <r>
      <rPr>
        <b/>
        <sz val="12"/>
        <rFont val="Arial"/>
        <family val="2"/>
      </rPr>
      <t>) Cofins</t>
    </r>
    <r>
      <rPr>
        <b/>
        <sz val="10"/>
        <rFont val="Arial"/>
        <family val="2"/>
      </rPr>
      <t xml:space="preserve">  </t>
    </r>
    <r>
      <rPr>
        <sz val="8"/>
        <color indexed="10"/>
        <rFont val="Arial"/>
        <family val="2"/>
      </rPr>
      <t>(depende do regime de tributação e do faturamento acumulado dos últimos 12 meses - utilizada a hipótese de Simples - Anexo III)</t>
    </r>
  </si>
  <si>
    <r>
      <t xml:space="preserve">  b</t>
    </r>
    <r>
      <rPr>
        <b/>
        <sz val="12"/>
        <rFont val="Arial"/>
        <family val="2"/>
      </rPr>
      <t>) PIS</t>
    </r>
    <r>
      <rPr>
        <b/>
        <sz val="10"/>
        <rFont val="Arial"/>
        <family val="2"/>
      </rPr>
      <t xml:space="preserve"> </t>
    </r>
    <r>
      <rPr>
        <sz val="9"/>
        <color indexed="10"/>
        <rFont val="Arial"/>
        <family val="2"/>
      </rPr>
      <t>(depende do regime de tributação e do faturamento acumulado dos últimos 12 meses - utilizada a hipótese de Simples - Anexo III)</t>
    </r>
  </si>
  <si>
    <r>
      <t xml:space="preserve"> INSS ou CPP</t>
    </r>
    <r>
      <rPr>
        <b/>
        <sz val="10"/>
        <color indexed="12"/>
        <rFont val="Arial"/>
        <family val="2"/>
      </rPr>
      <t xml:space="preserve"> (inclui o RAT)</t>
    </r>
  </si>
  <si>
    <r>
      <t>Equipamentos</t>
    </r>
    <r>
      <rPr>
        <b/>
        <sz val="10"/>
        <color indexed="12"/>
        <rFont val="Arial"/>
        <family val="2"/>
      </rPr>
      <t xml:space="preserve">                               </t>
    </r>
    <r>
      <rPr>
        <b/>
        <sz val="10"/>
        <color indexed="10"/>
        <rFont val="Arial"/>
        <family val="2"/>
      </rPr>
      <t xml:space="preserve"> (OBS: não pode utilizar créditos no Simples Nacional)</t>
    </r>
  </si>
  <si>
    <t xml:space="preserve">Outros (especificar)                                            </t>
  </si>
  <si>
    <t xml:space="preserve">Percentual Total e Valor Total de Tributos </t>
  </si>
  <si>
    <r>
      <t xml:space="preserve">  ANEXO ------ 
MÃO DE OBRA
</t>
    </r>
    <r>
      <rPr>
        <b/>
        <sz val="12"/>
        <rFont val="Arial"/>
        <family val="2"/>
      </rPr>
      <t>Mão de obra vinculada à execução contratual</t>
    </r>
    <r>
      <rPr>
        <b/>
        <sz val="11"/>
        <rFont val="Arial"/>
        <family val="2"/>
      </rPr>
      <t xml:space="preserve">
</t>
    </r>
  </si>
  <si>
    <r>
      <t xml:space="preserve">Salário-base                     </t>
    </r>
    <r>
      <rPr>
        <b/>
        <sz val="10"/>
        <color indexed="10"/>
        <rFont val="Arial"/>
        <family val="2"/>
      </rPr>
      <t xml:space="preserve">(valor para somente 1 servente de limpeza) - CBO: 5143
             </t>
    </r>
    <r>
      <rPr>
        <b/>
        <sz val="10"/>
        <color indexed="12"/>
        <rFont val="Arial"/>
        <family val="2"/>
      </rPr>
      <t xml:space="preserve">para a jornada de </t>
    </r>
    <r>
      <rPr>
        <b/>
        <sz val="12"/>
        <color indexed="12"/>
        <rFont val="Arial"/>
        <family val="2"/>
      </rPr>
      <t>40</t>
    </r>
    <r>
      <rPr>
        <b/>
        <sz val="10"/>
        <color indexed="12"/>
        <rFont val="Arial"/>
        <family val="2"/>
      </rPr>
      <t xml:space="preserve"> horas semanais </t>
    </r>
    <r>
      <rPr>
        <b/>
        <sz val="10"/>
        <color indexed="10"/>
        <rFont val="Arial"/>
        <family val="2"/>
      </rPr>
      <t>Cálculo do valor: (40/6)x30xR$(SB/220)</t>
    </r>
  </si>
  <si>
    <r>
      <t xml:space="preserve">Salário-base                     </t>
    </r>
    <r>
      <rPr>
        <b/>
        <sz val="10"/>
        <color indexed="10"/>
        <rFont val="Arial"/>
        <family val="2"/>
      </rPr>
      <t xml:space="preserve">(valor para somente 1 servente de limpeza) - CBO: 5143
             </t>
    </r>
    <r>
      <rPr>
        <b/>
        <sz val="10"/>
        <color indexed="12"/>
        <rFont val="Arial"/>
        <family val="2"/>
      </rPr>
      <t xml:space="preserve">para a jornada de </t>
    </r>
    <r>
      <rPr>
        <b/>
        <sz val="12"/>
        <color indexed="12"/>
        <rFont val="Arial"/>
        <family val="2"/>
      </rPr>
      <t>40</t>
    </r>
    <r>
      <rPr>
        <b/>
        <sz val="10"/>
        <color indexed="12"/>
        <rFont val="Arial"/>
        <family val="2"/>
      </rPr>
      <t xml:space="preserve"> horas semanais </t>
    </r>
    <r>
      <rPr>
        <b/>
        <sz val="10"/>
        <color indexed="10"/>
        <rFont val="Arial"/>
        <family val="2"/>
      </rPr>
      <t>Cálculo do valor:(40/6)x30xR$(SB/220)</t>
    </r>
  </si>
  <si>
    <r>
      <t xml:space="preserve">Salário normativo da categoria profissional - </t>
    </r>
    <r>
      <rPr>
        <b/>
        <sz val="10"/>
        <color indexed="12"/>
        <rFont val="Arial"/>
        <family val="2"/>
      </rPr>
      <t xml:space="preserve">para a jornada de </t>
    </r>
    <r>
      <rPr>
        <b/>
        <sz val="12"/>
        <color indexed="12"/>
        <rFont val="Arial"/>
        <family val="2"/>
      </rPr>
      <t>44</t>
    </r>
    <r>
      <rPr>
        <b/>
        <sz val="10"/>
        <color indexed="12"/>
        <rFont val="Arial"/>
        <family val="2"/>
      </rPr>
      <t xml:space="preserve"> h/sem</t>
    </r>
  </si>
  <si>
    <r>
      <t xml:space="preserve">ANEXO ------ A
MÃO DE OBRA
</t>
    </r>
    <r>
      <rPr>
        <b/>
        <sz val="12"/>
        <rFont val="Arial"/>
        <family val="2"/>
      </rPr>
      <t>Mão de obra vinculada à execução contratual</t>
    </r>
    <r>
      <rPr>
        <b/>
        <sz val="11"/>
        <rFont val="Arial"/>
        <family val="2"/>
      </rPr>
      <t xml:space="preserve">
</t>
    </r>
  </si>
  <si>
    <r>
      <t xml:space="preserve">ANEXO ------ 
MÃO DE OBRA
</t>
    </r>
    <r>
      <rPr>
        <b/>
        <sz val="12"/>
        <rFont val="Arial"/>
        <family val="2"/>
      </rPr>
      <t>Mão de obra vinculada à execução contratual</t>
    </r>
    <r>
      <rPr>
        <b/>
        <sz val="11"/>
        <rFont val="Arial"/>
        <family val="2"/>
      </rPr>
      <t xml:space="preserve">
</t>
    </r>
  </si>
  <si>
    <t>* Caso as produtividades mínimas adotadas sejam diferentes, estes valores das planilhas, bem como os coeficientes deles decorrentes (Ki e Ke) deverão ser adequados à nova situação.
** Caso a relação entre serventes e encarregado seja diferente, os valores</t>
  </si>
  <si>
    <t>c) Áreas internas - Sanitários</t>
  </si>
  <si>
    <t xml:space="preserve">ENC. / </t>
  </si>
  <si>
    <t>1/300</t>
  </si>
  <si>
    <r>
      <t xml:space="preserve">SERV. / </t>
    </r>
    <r>
      <rPr>
        <b/>
        <sz val="10"/>
        <color indexed="12"/>
        <rFont val="Arial"/>
        <family val="2"/>
      </rPr>
      <t>Sanitários</t>
    </r>
  </si>
  <si>
    <r>
      <t xml:space="preserve">a) Áreas internas - </t>
    </r>
    <r>
      <rPr>
        <b/>
        <sz val="12"/>
        <color indexed="12"/>
        <rFont val="Arial"/>
        <family val="2"/>
      </rPr>
      <t>Pisos acarpetados</t>
    </r>
  </si>
  <si>
    <r>
      <t>c) Áreas internas -</t>
    </r>
    <r>
      <rPr>
        <b/>
        <sz val="12"/>
        <rFont val="Arial"/>
        <family val="2"/>
      </rPr>
      <t xml:space="preserve"> </t>
    </r>
    <r>
      <rPr>
        <b/>
        <sz val="12"/>
        <color indexed="12"/>
        <rFont val="Arial"/>
        <family val="2"/>
      </rPr>
      <t xml:space="preserve">Sanitários </t>
    </r>
    <r>
      <rPr>
        <sz val="10"/>
        <color indexed="12"/>
        <rFont val="Arial"/>
        <family val="2"/>
      </rPr>
      <t>(considerando produtividade de 300m2)</t>
    </r>
  </si>
  <si>
    <t>Incidência dos encargos do submódulo 4.1 sobre o aviso-prévio trabalhado</t>
  </si>
  <si>
    <t xml:space="preserve">Incidência dos encargos do submódulo 4.1 sobre o afastamento maternidade </t>
  </si>
  <si>
    <t>Incidência dos encargos do submódulo 4.1 sobre o custo de reposição do profissional ausente</t>
  </si>
  <si>
    <r>
      <t xml:space="preserve">* Caso as produtividades mínimas adotadas sejam diferentes, estes valores das planilhas, bem como os coeficientes deles decorrentes (Ki e Ke) deverão ser adequados à nova situação.
** Caso a relação entre serventes e encarregado seja diferente, os valores das planilhas, bem como os coeficientes deles decorrentes (Ki e Ke) deverão ser adequados à nova situação.
*** Frequência sugerida em horas por mês. Caso a frequência adotada em horas, por mês ou semestre, seja diferente, os valores, bem como os coeficientes deles decorrentes (Ki e Ke) deverão ser adequados à nova situação.                                                                                                    </t>
    </r>
    <r>
      <rPr>
        <b/>
        <sz val="14"/>
        <color indexed="10"/>
        <rFont val="Arial"/>
        <family val="2"/>
      </rPr>
      <t xml:space="preserve">(notas que devem ser retiradas da planilha) </t>
    </r>
  </si>
  <si>
    <r>
      <t xml:space="preserve">* Caso as produtividades mínimas adotadas sejam diferentes, estes valores das planilhas, bem como os coeficientes deles decorrentes (Ki e Ke) deverão ser adequados à nova situação.
** Caso a relação entre serventes e encarregado seja diferente, os valores das planilhas, bem como os coeficientes deles decorrentes (Ki e Ke) deverão ser adequados à nova situação.
*** Frequência sugerida em horas por mês. Caso a frequência adotada em horas, por mês ou semestre, seja diferente, os valores, bem como os coeficientes deles decorrentes (Ki e Ke) deverão ser adequados à nova situação.                                                                                                  </t>
    </r>
    <r>
      <rPr>
        <b/>
        <sz val="14"/>
        <color indexed="10"/>
        <rFont val="Arial"/>
        <family val="2"/>
      </rPr>
      <t>(notas que devem ser retiradas da planilha)</t>
    </r>
    <r>
      <rPr>
        <b/>
        <sz val="10"/>
        <rFont val="Arial"/>
        <family val="2"/>
      </rPr>
      <t xml:space="preserve"> </t>
    </r>
  </si>
  <si>
    <r>
      <t xml:space="preserve">ANEXO ------ 
MÃO DE OBRA
</t>
    </r>
    <r>
      <rPr>
        <b/>
        <sz val="12"/>
        <rFont val="Arial"/>
        <family val="2"/>
      </rPr>
      <t>Mão de obra vinculada à execução contratual</t>
    </r>
  </si>
  <si>
    <t xml:space="preserve">Incidência dos encargos previstos no submódulo 4.1 sobre o 13º (décimo terceiro) salário </t>
  </si>
  <si>
    <r>
      <t xml:space="preserve">Uniformes                                       </t>
    </r>
    <r>
      <rPr>
        <b/>
        <sz val="10"/>
        <color indexed="10"/>
        <rFont val="Arial"/>
        <family val="2"/>
      </rPr>
      <t xml:space="preserve"> (OBS: não pode utilizar créditos no Lucro Presumido)</t>
    </r>
  </si>
  <si>
    <r>
      <t xml:space="preserve">Uniformes                                       </t>
    </r>
    <r>
      <rPr>
        <b/>
        <sz val="10"/>
        <color indexed="10"/>
        <rFont val="Arial"/>
        <family val="2"/>
      </rPr>
      <t xml:space="preserve"> (OBS: não pode utilizar créditos no Simples Nacional)</t>
    </r>
  </si>
  <si>
    <r>
      <t xml:space="preserve">Aviso-previo trabalhado                </t>
    </r>
    <r>
      <rPr>
        <b/>
        <sz val="10"/>
        <color indexed="10"/>
        <rFont val="Arial"/>
        <family val="2"/>
      </rPr>
      <t>(negociar extinção/redução na 1ª prorrogação)
Cálculo do valor= {[(Rem/30)x7]/</t>
    </r>
    <r>
      <rPr>
        <b/>
        <sz val="12"/>
        <color indexed="12"/>
        <rFont val="Arial"/>
        <family val="2"/>
      </rPr>
      <t>12</t>
    </r>
    <r>
      <rPr>
        <b/>
        <sz val="10"/>
        <color indexed="10"/>
        <rFont val="Arial"/>
        <family val="2"/>
      </rPr>
      <t xml:space="preserve"> meses do contrato} x 90% dos empregados</t>
    </r>
  </si>
  <si>
    <r>
      <t xml:space="preserve">Adicional noturno </t>
    </r>
    <r>
      <rPr>
        <b/>
        <sz val="10"/>
        <color indexed="12"/>
        <rFont val="Arial"/>
        <family val="2"/>
      </rPr>
      <t xml:space="preserve"> (excluir esta linha, se for limpeza diurna)</t>
    </r>
  </si>
  <si>
    <r>
      <t xml:space="preserve">Hora noturna adicional  </t>
    </r>
    <r>
      <rPr>
        <b/>
        <sz val="10"/>
        <color indexed="12"/>
        <rFont val="Arial"/>
        <family val="2"/>
      </rPr>
      <t>(excluir esta linha, se for limpeza diurna)</t>
    </r>
  </si>
  <si>
    <r>
      <t xml:space="preserve">Adicional de periculosidade </t>
    </r>
    <r>
      <rPr>
        <b/>
        <sz val="10"/>
        <color indexed="12"/>
        <rFont val="Arial"/>
        <family val="2"/>
      </rPr>
      <t>(excluir esta linha, como regra)</t>
    </r>
  </si>
  <si>
    <r>
      <t xml:space="preserve">Adicional noturno  </t>
    </r>
    <r>
      <rPr>
        <b/>
        <sz val="10"/>
        <color indexed="12"/>
        <rFont val="Arial"/>
        <family val="2"/>
      </rPr>
      <t xml:space="preserve"> (excluir esta linha, se for limpeza diurna)</t>
    </r>
  </si>
  <si>
    <r>
      <t xml:space="preserve">Hora noturna adicional </t>
    </r>
    <r>
      <rPr>
        <b/>
        <sz val="10"/>
        <color indexed="12"/>
        <rFont val="Arial"/>
        <family val="2"/>
      </rPr>
      <t xml:space="preserve"> (excluir esta linha, se for limpeza diurna)</t>
    </r>
  </si>
  <si>
    <r>
      <t xml:space="preserve">Adicional de hora extra </t>
    </r>
    <r>
      <rPr>
        <b/>
        <sz val="10"/>
        <color indexed="12"/>
        <rFont val="Arial"/>
        <family val="2"/>
      </rPr>
      <t>(excluir esta linha, como regra)</t>
    </r>
  </si>
  <si>
    <r>
      <t xml:space="preserve">Hora noturna adicional </t>
    </r>
    <r>
      <rPr>
        <b/>
        <sz val="10"/>
        <color indexed="12"/>
        <rFont val="Arial"/>
        <family val="2"/>
      </rPr>
      <t>(excluir esta linha, se for limpeza diurna)</t>
    </r>
  </si>
  <si>
    <r>
      <t>Adicional de hora extra</t>
    </r>
    <r>
      <rPr>
        <b/>
        <sz val="10"/>
        <color indexed="12"/>
        <rFont val="Arial"/>
        <family val="2"/>
      </rPr>
      <t xml:space="preserve"> (excluir esta linha, como regra)</t>
    </r>
  </si>
  <si>
    <r>
      <t xml:space="preserve">Adicional noturno </t>
    </r>
    <r>
      <rPr>
        <b/>
        <sz val="10"/>
        <color indexed="12"/>
        <rFont val="Arial"/>
        <family val="2"/>
      </rPr>
      <t>(excluir esta linha, se for limpeza diurna)</t>
    </r>
  </si>
  <si>
    <t>LIMPEZA - Regime de Tributação: Lucro Real</t>
  </si>
  <si>
    <t>Identificação do serviço</t>
  </si>
  <si>
    <t xml:space="preserve">Tipo de serviço: 
                           Limpeza e Conservação Predial                                                                                                   </t>
  </si>
  <si>
    <t>Unidade
 de 
Medida</t>
  </si>
  <si>
    <r>
      <t xml:space="preserve">                                                                                                     </t>
    </r>
    <r>
      <rPr>
        <sz val="10"/>
        <color indexed="10"/>
        <rFont val="Arial"/>
        <family val="2"/>
      </rPr>
      <t>TOTAL DAS ÁREAS HOSPITALARES</t>
    </r>
  </si>
  <si>
    <t>ANEXO ------ A
MÃO DE OBRA
MÃO DE OBRA VINCULADA À EXECUÇÃO CONTRATUAL</t>
  </si>
  <si>
    <t>Categoria profissional (vinculada à execução contratual)</t>
  </si>
  <si>
    <t>Nota: Deverá ser elaborado um quadro para cada tipo de serviço</t>
  </si>
  <si>
    <t xml:space="preserve">Valor (R$) </t>
  </si>
  <si>
    <r>
      <t xml:space="preserve">Salário-base                   </t>
    </r>
    <r>
      <rPr>
        <b/>
        <sz val="10"/>
        <color indexed="10"/>
        <rFont val="Arial"/>
        <family val="2"/>
      </rPr>
      <t xml:space="preserve"> (valor para somente 1 servente de limpeza) - CBO: 5143 
      </t>
    </r>
    <r>
      <rPr>
        <b/>
        <sz val="10"/>
        <color indexed="12"/>
        <rFont val="Arial"/>
        <family val="2"/>
      </rPr>
      <t xml:space="preserve">Para a jornada de </t>
    </r>
    <r>
      <rPr>
        <b/>
        <sz val="14"/>
        <color indexed="12"/>
        <rFont val="Arial"/>
        <family val="2"/>
      </rPr>
      <t>40</t>
    </r>
    <r>
      <rPr>
        <b/>
        <sz val="10"/>
        <color indexed="12"/>
        <rFont val="Arial"/>
        <family val="2"/>
      </rPr>
      <t xml:space="preserve"> horas semanais  </t>
    </r>
    <r>
      <rPr>
        <b/>
        <sz val="10"/>
        <color indexed="10"/>
        <rFont val="Arial"/>
        <family val="2"/>
      </rPr>
      <t>Cálculo do valor:(40/6)x30xR$(SB/220)</t>
    </r>
  </si>
  <si>
    <t>Total da remuneração</t>
  </si>
  <si>
    <t>Nota: Valores mensais por empregado</t>
  </si>
  <si>
    <r>
      <t xml:space="preserve">                                                                  MÓDULO 4: ENCARGOS SOCIAIS E TRABALHISTAS
                                       </t>
    </r>
    <r>
      <rPr>
        <b/>
        <sz val="11"/>
        <rFont val="Arial"/>
        <family val="2"/>
      </rPr>
      <t>Submódulo 4.1 - Encargos previdenciários, FGTS e outras contribuições</t>
    </r>
  </si>
  <si>
    <t>FAP =</t>
  </si>
  <si>
    <r>
      <t xml:space="preserve">Multa sobre FGTS e contribuições sociais sobre o aviso-prévio indenizado                           </t>
    </r>
    <r>
      <rPr>
        <b/>
        <sz val="10"/>
        <color indexed="10"/>
        <rFont val="Arial"/>
        <family val="2"/>
      </rPr>
      <t>Cálculo do valor = [50%x8%x(Rem+13º+Férias+1/3xFérias)]x5% de rotatividade</t>
    </r>
  </si>
  <si>
    <r>
      <t xml:space="preserve">Multa sobre FGTS e contribuições sociais sobre o aviso-prévio trabalhado                                         </t>
    </r>
    <r>
      <rPr>
        <b/>
        <sz val="10"/>
        <color indexed="10"/>
        <rFont val="Arial"/>
        <family val="2"/>
      </rPr>
      <t>Cálculo do valor = [50%x8%x(Rem+13º+Férias+1/3xFérias)]x90% dos empregados</t>
    </r>
  </si>
  <si>
    <r>
      <t xml:space="preserve">Plano de benefício familiar </t>
    </r>
    <r>
      <rPr>
        <b/>
        <sz val="10"/>
        <color indexed="10"/>
        <rFont val="Arial"/>
        <family val="2"/>
      </rPr>
      <t xml:space="preserve"> (cláusula 25 da CCT 2015)  Cálculo do valor = R$ 8,46 </t>
    </r>
    <r>
      <rPr>
        <b/>
        <sz val="10"/>
        <color indexed="12"/>
        <rFont val="Arial"/>
        <family val="2"/>
      </rPr>
      <t>Suprimida a participação do empregado</t>
    </r>
  </si>
  <si>
    <r>
      <t xml:space="preserve">Plano de benefício familiar  </t>
    </r>
    <r>
      <rPr>
        <b/>
        <sz val="10"/>
        <color indexed="10"/>
        <rFont val="Arial"/>
        <family val="2"/>
      </rPr>
      <t xml:space="preserve">(cláusula 25 da CCT 2015)  Cálculo do valor = R$ 8,46 </t>
    </r>
    <r>
      <rPr>
        <b/>
        <sz val="10"/>
        <color indexed="12"/>
        <rFont val="Arial"/>
        <family val="2"/>
      </rPr>
      <t>Suprimida a participação do empregado</t>
    </r>
  </si>
  <si>
    <r>
      <t xml:space="preserve">Plano de benefício familiar </t>
    </r>
    <r>
      <rPr>
        <b/>
        <sz val="10"/>
        <color indexed="10"/>
        <rFont val="Arial"/>
        <family val="2"/>
      </rPr>
      <t xml:space="preserve">(cláusula 25 da CCT 2015)  Cálculo do valor = R$ 8,46 </t>
    </r>
    <r>
      <rPr>
        <b/>
        <sz val="10"/>
        <color indexed="12"/>
        <rFont val="Arial"/>
        <family val="2"/>
      </rPr>
      <t>Suprimida a participação do empregado</t>
    </r>
  </si>
  <si>
    <r>
      <t xml:space="preserve">Plano de benefício social familiar </t>
    </r>
    <r>
      <rPr>
        <b/>
        <sz val="10"/>
        <color indexed="10"/>
        <rFont val="Arial"/>
        <family val="2"/>
      </rPr>
      <t xml:space="preserve">(cláusula 25 da CCT 2015)  Cálculo do valor = R$ 8,46 </t>
    </r>
    <r>
      <rPr>
        <b/>
        <sz val="10"/>
        <color indexed="12"/>
        <rFont val="Arial"/>
        <family val="2"/>
      </rPr>
      <t>Suprimida a participação do empregado</t>
    </r>
  </si>
  <si>
    <r>
      <t xml:space="preserve">Seguro de vida  </t>
    </r>
    <r>
      <rPr>
        <b/>
        <sz val="10"/>
        <color indexed="10"/>
        <rFont val="Arial"/>
        <family val="2"/>
      </rPr>
      <t xml:space="preserve">Cálculo do valor = R$ 5.000,00x0,1068% </t>
    </r>
    <r>
      <rPr>
        <b/>
        <sz val="10"/>
        <color indexed="12"/>
        <rFont val="Arial"/>
        <family val="2"/>
      </rPr>
      <t>Como não tem mais essa exigência na CCT não pode descontar do empregado</t>
    </r>
  </si>
  <si>
    <r>
      <t xml:space="preserve">Seguro de vida, invalidez e funeral  </t>
    </r>
    <r>
      <rPr>
        <b/>
        <sz val="10"/>
        <color indexed="10"/>
        <rFont val="Arial"/>
        <family val="2"/>
      </rPr>
      <t xml:space="preserve">Cálculo do valor = R$ 5.000,00x0,1068%   </t>
    </r>
    <r>
      <rPr>
        <b/>
        <sz val="10"/>
        <color indexed="12"/>
        <rFont val="Arial"/>
        <family val="2"/>
      </rPr>
      <t>Como não tem mais essa exigência na CCT não pode descontar do empregado</t>
    </r>
  </si>
  <si>
    <t>Salário normativo da categoria profissional</t>
  </si>
  <si>
    <t>jornada (h/sem):</t>
  </si>
  <si>
    <t>xxxxxxxxxxxxxxxxxxxx</t>
  </si>
  <si>
    <t>Pregão xxxxxxxxx</t>
  </si>
  <si>
    <r>
      <t>Dia: xx</t>
    </r>
    <r>
      <rPr>
        <b/>
        <sz val="10"/>
        <color indexed="10"/>
        <rFont val="Arial"/>
        <family val="2"/>
      </rPr>
      <t>/xx/2016 - Hora: xxh xxmin</t>
    </r>
  </si>
  <si>
    <t>Vacaria/RS</t>
  </si>
  <si>
    <r>
      <t xml:space="preserve">      </t>
    </r>
    <r>
      <rPr>
        <b/>
        <sz val="9"/>
        <color indexed="10"/>
        <rFont val="Arial"/>
        <family val="2"/>
      </rPr>
      <t>A.1) Valor da passagem do transporte coletivo no município de VACARIA/RS</t>
    </r>
  </si>
  <si>
    <r>
      <t xml:space="preserve">  </t>
    </r>
    <r>
      <rPr>
        <b/>
        <sz val="10"/>
        <rFont val="Arial"/>
        <family val="2"/>
      </rPr>
      <t xml:space="preserve">a) ISS    </t>
    </r>
    <r>
      <rPr>
        <sz val="10"/>
        <color indexed="10"/>
        <rFont val="Arial"/>
        <family val="2"/>
      </rPr>
      <t>(Lei Municipal de Vacaria n° 2134/2003)</t>
    </r>
  </si>
  <si>
    <t>01/01/16 a 31/12/16  SindAsseio Caxias do Sul         
(que inclui Vacaria)</t>
  </si>
  <si>
    <r>
      <t xml:space="preserve">ANEXO ----  </t>
    </r>
    <r>
      <rPr>
        <b/>
        <sz val="18"/>
        <color indexed="10"/>
        <rFont val="Arial"/>
        <family val="2"/>
      </rPr>
      <t xml:space="preserve">do Pregão IFRS nº xx/2016 </t>
    </r>
    <r>
      <rPr>
        <b/>
        <sz val="18"/>
        <color indexed="12"/>
        <rFont val="Arial"/>
        <family val="2"/>
      </rPr>
      <t xml:space="preserve">CONTA VINCULADA
</t>
    </r>
    <r>
      <rPr>
        <b/>
        <sz val="18"/>
        <rFont val="Arial"/>
        <family val="2"/>
      </rPr>
      <t xml:space="preserve">MODELO DE PLANILHA DE CUSTOS E FORMAÇÃO DE PREÇOS </t>
    </r>
    <r>
      <rPr>
        <b/>
        <sz val="18"/>
        <color indexed="20"/>
        <rFont val="Arial"/>
        <family val="2"/>
      </rPr>
      <t xml:space="preserve"> </t>
    </r>
  </si>
  <si>
    <t>1º de janeiro de 2016</t>
  </si>
  <si>
    <r>
      <t>Adicional de insalubridade</t>
    </r>
    <r>
      <rPr>
        <b/>
        <sz val="8"/>
        <rFont val="Arial"/>
        <family val="2"/>
      </rPr>
      <t xml:space="preserve"> </t>
    </r>
    <r>
      <rPr>
        <b/>
        <sz val="8"/>
        <color indexed="10"/>
        <rFont val="Arial"/>
        <family val="2"/>
      </rPr>
      <t>(40% do SB - cláusula 59 da CCT SINDASSEIO/Caxias do Sul 2016)</t>
    </r>
  </si>
  <si>
    <r>
      <t xml:space="preserve">      </t>
    </r>
    <r>
      <rPr>
        <b/>
        <sz val="9"/>
        <color indexed="10"/>
        <rFont val="Arial"/>
        <family val="2"/>
      </rPr>
      <t>B.1) Valor do auxílio-alimentação (clausula 20 da CCT 2016):</t>
    </r>
  </si>
  <si>
    <r>
      <t xml:space="preserve">Plano de benefício familiar  </t>
    </r>
    <r>
      <rPr>
        <b/>
        <sz val="10"/>
        <color indexed="10"/>
        <rFont val="Arial"/>
        <family val="2"/>
      </rPr>
      <t xml:space="preserve">(cláusula 24 da CCT 2016)  Cálculo do valor = R$ 9,38 </t>
    </r>
    <r>
      <rPr>
        <b/>
        <sz val="10"/>
        <color indexed="12"/>
        <rFont val="Arial"/>
        <family val="2"/>
      </rPr>
      <t>Suprimida a participação do empregado</t>
    </r>
  </si>
  <si>
    <r>
      <t xml:space="preserve">      </t>
    </r>
    <r>
      <rPr>
        <b/>
        <sz val="9"/>
        <color indexed="10"/>
        <rFont val="Arial"/>
        <family val="2"/>
      </rPr>
      <t>A.1) Valor da passagem do transporte coletivo no município de prestação dos serviços</t>
    </r>
  </si>
  <si>
    <t>Município de prestação do serviço/UF</t>
  </si>
  <si>
    <t xml:space="preserve">IRPJ e CSLL </t>
  </si>
  <si>
    <t>Módulo 3 - Insumos diversos (uniformes, materiais, equipamentos e outros)</t>
  </si>
  <si>
    <r>
      <rPr>
        <b/>
        <u/>
        <sz val="10"/>
        <rFont val="Arial"/>
        <family val="2"/>
      </rPr>
      <t>OBSERVAÇÃO</t>
    </r>
    <r>
      <rPr>
        <b/>
        <sz val="10"/>
        <rFont val="Arial"/>
        <family val="2"/>
      </rPr>
      <t>: A limpeza das "esquadrias externas com exposição a risco"</t>
    </r>
    <r>
      <rPr>
        <b/>
        <sz val="10"/>
        <rFont val="Arial"/>
        <family val="2"/>
      </rPr>
      <t xml:space="preserve"> </t>
    </r>
    <r>
      <rPr>
        <b/>
        <u/>
        <sz val="10"/>
        <rFont val="Arial"/>
        <family val="2"/>
      </rPr>
      <t>deve ser semestral</t>
    </r>
    <r>
      <rPr>
        <b/>
        <sz val="10"/>
        <rFont val="Arial"/>
        <family val="2"/>
      </rPr>
      <t xml:space="preserve"> conforme IN 02, assim como a fachada envidraçada face externa. </t>
    </r>
  </si>
  <si>
    <t>QUANTIDADE DE PESSOAL ALOCADO NA EXECUÇÃO CONTRATUAL (inciso V do art. 21 da IN SLTI nº 2/2008)</t>
  </si>
  <si>
    <t>Unidade de 
Medida</t>
  </si>
  <si>
    <r>
      <t xml:space="preserve">Salário-base     </t>
    </r>
    <r>
      <rPr>
        <b/>
        <sz val="9"/>
        <rFont val="Arial"/>
        <family val="2"/>
      </rPr>
      <t xml:space="preserve">  </t>
    </r>
    <r>
      <rPr>
        <b/>
        <sz val="9"/>
        <color indexed="10"/>
        <rFont val="Arial"/>
        <family val="2"/>
      </rPr>
      <t xml:space="preserve">(valor para somente 1 servente de limpeza) - CBO: 5143 </t>
    </r>
  </si>
  <si>
    <r>
      <t xml:space="preserve">      </t>
    </r>
    <r>
      <rPr>
        <b/>
        <sz val="9"/>
        <color indexed="10"/>
        <rFont val="Arial"/>
        <family val="2"/>
      </rPr>
      <t>B.1) Valor do auxílio-alimentação        (clausula 20 da CCT supracitada):</t>
    </r>
  </si>
  <si>
    <t>jornada (hora/sem):</t>
  </si>
  <si>
    <r>
      <t>Adicional de insalubridade</t>
    </r>
    <r>
      <rPr>
        <b/>
        <sz val="8"/>
        <rFont val="Arial"/>
        <family val="2"/>
      </rPr>
      <t xml:space="preserve">        </t>
    </r>
    <r>
      <rPr>
        <b/>
        <sz val="9"/>
        <color indexed="10"/>
        <rFont val="Arial"/>
        <family val="2"/>
      </rPr>
      <t xml:space="preserve">(cláusula 59 da CCT supracitada e Parecer Técnico emitido pela área técnica de Segurança do Trabalho do IFRS)       </t>
    </r>
    <r>
      <rPr>
        <b/>
        <sz val="9"/>
        <color rgb="FF00B050"/>
        <rFont val="Arial"/>
        <family val="2"/>
      </rPr>
      <t xml:space="preserve"> </t>
    </r>
    <r>
      <rPr>
        <b/>
        <sz val="9"/>
        <color rgb="FF008A3E"/>
        <rFont val="Arial"/>
        <family val="2"/>
      </rPr>
      <t>Cálculo do valor: [(SBx20%)]</t>
    </r>
  </si>
  <si>
    <t>Aparelho de Ponto eletrônico</t>
  </si>
  <si>
    <r>
      <t xml:space="preserve">Uniformes   </t>
    </r>
    <r>
      <rPr>
        <b/>
        <sz val="10"/>
        <color rgb="FFFF0000"/>
        <rFont val="Arial"/>
        <family val="2"/>
      </rPr>
      <t>(incluindo EPI's)</t>
    </r>
  </si>
  <si>
    <t>Materiais</t>
  </si>
  <si>
    <r>
      <t xml:space="preserve">Afastamento maternidade         </t>
    </r>
    <r>
      <rPr>
        <b/>
        <sz val="9"/>
        <rFont val="Arial"/>
        <family val="2"/>
      </rPr>
      <t xml:space="preserve"> </t>
    </r>
    <r>
      <rPr>
        <b/>
        <sz val="9"/>
        <color rgb="FFFF0000"/>
        <rFont val="Arial"/>
        <family val="2"/>
      </rPr>
      <t xml:space="preserve">Estatística de 2% de afastamento  </t>
    </r>
    <r>
      <rPr>
        <b/>
        <sz val="9"/>
        <rFont val="Arial"/>
        <family val="2"/>
      </rPr>
      <t xml:space="preserve">      </t>
    </r>
    <r>
      <rPr>
        <b/>
        <sz val="9"/>
        <color rgb="FF008A3E"/>
        <rFont val="Arial"/>
        <family val="2"/>
      </rPr>
      <t>Cálculo do valor = {[(Rem+1/3Rem)/12]x(4/12)}x2%</t>
    </r>
  </si>
  <si>
    <r>
      <t xml:space="preserve">Aviso-prévio indenizado    </t>
    </r>
    <r>
      <rPr>
        <b/>
        <sz val="9"/>
        <rFont val="Arial"/>
        <family val="2"/>
      </rPr>
      <t xml:space="preserve">  </t>
    </r>
    <r>
      <rPr>
        <b/>
        <sz val="9"/>
        <color rgb="FFFF0000"/>
        <rFont val="Arial"/>
        <family val="2"/>
      </rPr>
      <t xml:space="preserve">Estatística de 5% de rotatividade anual. Os reflexos de 13º, F e 1/3F são referentes a 1 mês de APInd - Na planilha da proposta são considerados 30d. Na prorrogação, poderão ser considerados + 3 dias conforme Lei nº 12.506/2011, dependendo da análise do nº de ocorrências deste evento no período.       </t>
    </r>
    <r>
      <rPr>
        <b/>
        <sz val="9"/>
        <rFont val="Arial"/>
        <family val="2"/>
      </rPr>
      <t xml:space="preserve">   </t>
    </r>
    <r>
      <rPr>
        <b/>
        <sz val="9"/>
        <color rgb="FF008A3E"/>
        <rFont val="Arial"/>
        <family val="2"/>
      </rPr>
      <t>Cálculo do valor = {Rem/12 + 13º/12 + Férias/12 + (1/3xFérias)/12} x 5%</t>
    </r>
  </si>
  <si>
    <r>
      <t xml:space="preserve">Multa sobre o FGTS e contribuições sociais sobre o aviso-prévio indenizado     </t>
    </r>
    <r>
      <rPr>
        <b/>
        <sz val="9"/>
        <color indexed="10"/>
        <rFont val="Arial"/>
        <family val="2"/>
      </rPr>
      <t xml:space="preserve">Obrigatória a cotação de 0,24% sobre o valor do Módulo 1 - Composição da remuneração, conforme art. 19-A e Anexo VII da IN 2/08.       </t>
    </r>
    <r>
      <rPr>
        <b/>
        <sz val="9"/>
        <color rgb="FF008A3E"/>
        <rFont val="Arial"/>
        <family val="2"/>
      </rPr>
      <t>Cálculo do valor = Rem x 0,24%</t>
    </r>
  </si>
  <si>
    <r>
      <t xml:space="preserve">13º (décimo terceiro) salário    </t>
    </r>
    <r>
      <rPr>
        <b/>
        <sz val="9"/>
        <color indexed="10"/>
        <rFont val="Arial"/>
        <family val="2"/>
      </rPr>
      <t xml:space="preserve">Obrigatória a cotação de  8,33% sobre o valor do Módulo 1 - Composição da remuneração, conforme art. 19-A e Anexo VII da IN 2/08     </t>
    </r>
    <r>
      <rPr>
        <b/>
        <sz val="9"/>
        <color rgb="FF008A3E"/>
        <rFont val="Arial"/>
        <family val="2"/>
      </rPr>
      <t>Cálculo do valor = Rem x 8,33%</t>
    </r>
  </si>
  <si>
    <r>
      <t xml:space="preserve">Aviso-previo trabalhado   </t>
    </r>
    <r>
      <rPr>
        <b/>
        <sz val="9"/>
        <rFont val="Arial"/>
        <family val="2"/>
      </rPr>
      <t xml:space="preserve">  </t>
    </r>
    <r>
      <rPr>
        <b/>
        <sz val="9"/>
        <color rgb="FFFF0000"/>
        <rFont val="Arial"/>
        <family val="2"/>
      </rPr>
      <t xml:space="preserve">Estatística de 90% dos empregados. </t>
    </r>
    <r>
      <rPr>
        <b/>
        <sz val="9"/>
        <rFont val="Arial"/>
        <family val="2"/>
      </rPr>
      <t xml:space="preserve">   </t>
    </r>
    <r>
      <rPr>
        <b/>
        <sz val="9"/>
        <color indexed="10"/>
        <rFont val="Arial"/>
        <family val="2"/>
      </rPr>
      <t xml:space="preserve">(negociar extinção/redução na 1ª prorrogação)         </t>
    </r>
    <r>
      <rPr>
        <b/>
        <sz val="9"/>
        <color rgb="FF008A3E"/>
        <rFont val="Arial"/>
        <family val="2"/>
      </rPr>
      <t>Cálculo do valor= {[(Rem/30)x7]/12 meses do contrato} x 90% dos empregados</t>
    </r>
  </si>
  <si>
    <r>
      <t xml:space="preserve">Multa sobre o FGTS e contribuições sociais sobre o aviso-prévio trabalhado   </t>
    </r>
    <r>
      <rPr>
        <b/>
        <sz val="9"/>
        <rFont val="Arial"/>
        <family val="2"/>
      </rPr>
      <t xml:space="preserve"> </t>
    </r>
    <r>
      <rPr>
        <b/>
        <sz val="9"/>
        <color indexed="10"/>
        <rFont val="Arial"/>
        <family val="2"/>
      </rPr>
      <t xml:space="preserve">Obrigatória a cotação de 4,76% sobre o valor do Módulo 1 - Composição da remuneração, conforme art. 19-A e Anexo VII da IN 2/08      </t>
    </r>
    <r>
      <rPr>
        <b/>
        <sz val="9"/>
        <color rgb="FF008A3E"/>
        <rFont val="Arial"/>
        <family val="2"/>
      </rPr>
      <t xml:space="preserve">Cálculo do valor = Rem x 4,76% </t>
    </r>
  </si>
  <si>
    <r>
      <t xml:space="preserve">BCCPA: Base de cálculo para o custo do profissional ausente (substituto): 
</t>
    </r>
    <r>
      <rPr>
        <b/>
        <sz val="9"/>
        <color rgb="FF008A3E"/>
        <rFont val="Arial"/>
        <family val="2"/>
      </rPr>
      <t xml:space="preserve">Cálculo do valor = Rem + 13º + 1/3xFérias/12          </t>
    </r>
    <r>
      <rPr>
        <b/>
        <sz val="9"/>
        <color rgb="FFFF0000"/>
        <rFont val="Arial"/>
        <family val="2"/>
      </rPr>
      <t>Exceto 4.5.A que tem percentual próprio</t>
    </r>
  </si>
  <si>
    <r>
      <t xml:space="preserve">Férias e terço constitucional     </t>
    </r>
    <r>
      <rPr>
        <b/>
        <sz val="9"/>
        <color indexed="10"/>
        <rFont val="Arial"/>
        <family val="2"/>
      </rPr>
      <t xml:space="preserve">Obrigatória a cotação de 12,10% sobre o valor do Módulo 1 - Composição da remuneração, conforme art. 19-A e Anexo VII da IN 2/08     </t>
    </r>
    <r>
      <rPr>
        <b/>
        <sz val="9"/>
        <rFont val="Arial"/>
        <family val="2"/>
      </rPr>
      <t xml:space="preserve"> </t>
    </r>
    <r>
      <rPr>
        <b/>
        <sz val="9"/>
        <color rgb="FF008A3E"/>
        <rFont val="Arial"/>
        <family val="2"/>
      </rPr>
      <t xml:space="preserve"> Cálculo do valor = Rem x 12,10%</t>
    </r>
  </si>
  <si>
    <r>
      <t xml:space="preserve">Licença-paternidade    </t>
    </r>
    <r>
      <rPr>
        <b/>
        <sz val="9"/>
        <color rgb="FFFF0000"/>
        <rFont val="Arial"/>
        <family val="2"/>
      </rPr>
      <t>Estatística de 1,5% dos empregados</t>
    </r>
    <r>
      <rPr>
        <b/>
        <sz val="9"/>
        <rFont val="Arial"/>
        <family val="2"/>
      </rPr>
      <t xml:space="preserve">    </t>
    </r>
    <r>
      <rPr>
        <b/>
        <sz val="9"/>
        <color rgb="FF008A3E"/>
        <rFont val="Arial"/>
        <family val="2"/>
      </rPr>
      <t xml:space="preserve"> Cálculo do valor = {[(BCCPA/30)x5dias]/12}x1,5%</t>
    </r>
  </si>
  <si>
    <r>
      <t xml:space="preserve">Ausência por doença     </t>
    </r>
    <r>
      <rPr>
        <b/>
        <sz val="9"/>
        <color rgb="FFFF0000"/>
        <rFont val="Arial"/>
        <family val="2"/>
      </rPr>
      <t>Estatística de 5 dias por ano</t>
    </r>
    <r>
      <rPr>
        <b/>
        <sz val="10"/>
        <rFont val="Arial"/>
        <family val="2"/>
      </rPr>
      <t xml:space="preserve">           </t>
    </r>
    <r>
      <rPr>
        <b/>
        <sz val="9"/>
        <color rgb="FF008A3E"/>
        <rFont val="Arial"/>
        <family val="2"/>
      </rPr>
      <t>Cálculo do valor =  [(BCCPA/30)x5dias]/12</t>
    </r>
  </si>
  <si>
    <r>
      <t xml:space="preserve">Ausências legais          </t>
    </r>
    <r>
      <rPr>
        <b/>
        <sz val="9"/>
        <color rgb="FFFF0000"/>
        <rFont val="Arial"/>
        <family val="2"/>
      </rPr>
      <t>Estatística de 2,96 dias por ano</t>
    </r>
    <r>
      <rPr>
        <b/>
        <sz val="10"/>
        <rFont val="Arial"/>
        <family val="2"/>
      </rPr>
      <t xml:space="preserve">       </t>
    </r>
    <r>
      <rPr>
        <b/>
        <sz val="9"/>
        <color rgb="FF008A3E"/>
        <rFont val="Arial"/>
        <family val="2"/>
      </rPr>
      <t>Cálculo do valor = [(BCCPA/30)x2,96dias]/12</t>
    </r>
  </si>
  <si>
    <r>
      <t xml:space="preserve">Ausência por acidente de trabalho   </t>
    </r>
    <r>
      <rPr>
        <b/>
        <sz val="9"/>
        <rFont val="Arial"/>
        <family val="2"/>
      </rPr>
      <t xml:space="preserve"> </t>
    </r>
    <r>
      <rPr>
        <b/>
        <sz val="9"/>
        <color rgb="FFFF0000"/>
        <rFont val="Arial"/>
        <family val="2"/>
      </rPr>
      <t>Estatística de 0,78% dos empregados</t>
    </r>
    <r>
      <rPr>
        <b/>
        <sz val="9"/>
        <rFont val="Arial"/>
        <family val="2"/>
      </rPr>
      <t xml:space="preserve">   </t>
    </r>
    <r>
      <rPr>
        <b/>
        <sz val="9"/>
        <color rgb="FF008A3E"/>
        <rFont val="Arial"/>
        <family val="2"/>
      </rPr>
      <t>Cálculo do valor  = {[(BCCPA/30)x15dias]/12}x0,78%</t>
    </r>
  </si>
  <si>
    <r>
      <t>BASE DE CÁLCULO DOS CUSTOS INDIRETOS</t>
    </r>
    <r>
      <rPr>
        <b/>
        <sz val="9"/>
        <color indexed="10"/>
        <rFont val="Arial"/>
        <family val="2"/>
      </rPr>
      <t xml:space="preserve">  =&gt; Total da Remuneração + Total dos Benefícios Mensais e Diários + Total de Insumos Diversos + Total do Quadro-Resumo do Módulo 4 de Encargos Sociais e Trabalhistas.     </t>
    </r>
    <r>
      <rPr>
        <b/>
        <sz val="9"/>
        <color rgb="FF008A3E"/>
        <rFont val="Arial"/>
        <family val="2"/>
      </rPr>
      <t>Cálculo do valor = (soma do total dos módulos 1, 2, 3 e 4)</t>
    </r>
  </si>
  <si>
    <r>
      <t xml:space="preserve">BASE DE CÁLCULO DO LUCRO =&gt; </t>
    </r>
    <r>
      <rPr>
        <b/>
        <sz val="9"/>
        <color indexed="10"/>
        <rFont val="Arial"/>
        <family val="2"/>
      </rPr>
      <t xml:space="preserve">Total da Remuneração + Total dos Benefícios Mensais e Diários + Total de Insumos Diversos + Total do Quadro-resumo do Módulo 4 de Encargos Sociais e Trabalhistas + Custos Indiretos.    </t>
    </r>
    <r>
      <rPr>
        <b/>
        <sz val="9"/>
        <color rgb="FF008A3E"/>
        <rFont val="Arial"/>
        <family val="2"/>
      </rPr>
      <t xml:space="preserve"> Cálculo do valor = (soma do total dos módulos 1, 2, 3 e 4 + 5A)</t>
    </r>
  </si>
  <si>
    <r>
      <t>BASE DE CÁLCULO DOS TRIBUTOS</t>
    </r>
    <r>
      <rPr>
        <b/>
        <sz val="9"/>
        <color indexed="10"/>
        <rFont val="Arial"/>
        <family val="2"/>
      </rPr>
      <t xml:space="preserve"> =&gt; Total da Remuneração + Total dos Benefícios Mensais e Diários + Total de Insumos Diversos + Total do Quadro-resumo do Módulo 4 de Encargos Sociais e Trabalhistas + Custos Indiretos + Lucro.       </t>
    </r>
    <r>
      <rPr>
        <b/>
        <sz val="9"/>
        <color rgb="FF008A3E"/>
        <rFont val="Arial"/>
        <family val="2"/>
      </rPr>
      <t>Cálculo do valor = (soma do total dos módulos 1, 2, 3 e 4 + 5A + 5B)</t>
    </r>
  </si>
  <si>
    <r>
      <t xml:space="preserve">  </t>
    </r>
    <r>
      <rPr>
        <b/>
        <sz val="10"/>
        <rFont val="Arial"/>
        <family val="2"/>
      </rPr>
      <t xml:space="preserve">a) Cofins    </t>
    </r>
    <r>
      <rPr>
        <sz val="8.5"/>
        <color indexed="10"/>
        <rFont val="Arial"/>
        <family val="2"/>
      </rPr>
      <t>(depende do regime de tributação - utilizada a hipótese de Lucro Real)</t>
    </r>
  </si>
  <si>
    <r>
      <t xml:space="preserve">  </t>
    </r>
    <r>
      <rPr>
        <b/>
        <sz val="10"/>
        <rFont val="Arial"/>
        <family val="2"/>
      </rPr>
      <t xml:space="preserve">b) PIS        </t>
    </r>
    <r>
      <rPr>
        <sz val="8"/>
        <color indexed="10"/>
        <rFont val="Arial"/>
        <family val="2"/>
      </rPr>
      <t>(depende do regime de tributação - utilizada a hipótese de Lucro Real)</t>
    </r>
  </si>
  <si>
    <t>Serviço Licitado:</t>
  </si>
  <si>
    <t>CONTA VINCULADA</t>
  </si>
  <si>
    <t>(   ) NÃO</t>
  </si>
  <si>
    <t>( X ) SIM</t>
  </si>
  <si>
    <t xml:space="preserve">REGIME DE TRIBUTAÇÃO: </t>
  </si>
  <si>
    <t>LUCRO REAL</t>
  </si>
  <si>
    <t>Dia e Hora da abertura</t>
  </si>
  <si>
    <t>xx/xx/2017 - Hora: xxh xxmin</t>
  </si>
  <si>
    <t>ÁREAS</t>
  </si>
  <si>
    <t>Produtividade ATUALIZADA</t>
  </si>
  <si>
    <t>Piso Frio</t>
  </si>
  <si>
    <t>Almoxarifado</t>
  </si>
  <si>
    <t>Área livre, saguão</t>
  </si>
  <si>
    <t>Esquadrias face interna</t>
  </si>
  <si>
    <t>Esquadrias externas, sem exposição ao risco</t>
  </si>
  <si>
    <t>Pisos pavimentados Adjacentes</t>
  </si>
  <si>
    <t>ÁREA INTERNA</t>
  </si>
  <si>
    <t>*Produtividade atualizada conforme a necessidade atual do IFRS, descrita abaixo:</t>
  </si>
  <si>
    <r>
      <t xml:space="preserve">MÃO DE OBRA / TIPO DE ÁREA                                 </t>
    </r>
    <r>
      <rPr>
        <b/>
        <sz val="8"/>
        <rFont val="Arial"/>
        <family val="2"/>
      </rPr>
      <t xml:space="preserve">                                                       (SERVENTE / TIPO DE ÁREA)</t>
    </r>
  </si>
  <si>
    <t xml:space="preserve">ÁREA EXTERNA </t>
  </si>
  <si>
    <t>Piso Acarpetado</t>
  </si>
  <si>
    <t>Laboratório</t>
  </si>
  <si>
    <t>Oficina</t>
  </si>
  <si>
    <t>Varrição de passeios e arruamentos</t>
  </si>
  <si>
    <t>Pátio alta frequência</t>
  </si>
  <si>
    <t>Pátio média frequência</t>
  </si>
  <si>
    <t>Pátio baixa frequência</t>
  </si>
  <si>
    <t>Coleta de detritos</t>
  </si>
  <si>
    <t>I - ÁREAS INTERNAS</t>
  </si>
  <si>
    <t>II - ÁREAS EXTERNAS</t>
  </si>
  <si>
    <t>III - ESQUADRIAS EXTERNAS</t>
  </si>
  <si>
    <t>SERV. / Almoxaridados/galpões</t>
  </si>
  <si>
    <r>
      <t xml:space="preserve">MÃO DE OBRA / TIPO DE ÁREA </t>
    </r>
    <r>
      <rPr>
        <b/>
        <sz val="9"/>
        <rFont val="Arial"/>
        <family val="2"/>
      </rPr>
      <t xml:space="preserve">                                                     (SERVENTE / TIPO DE ÁREA)</t>
    </r>
  </si>
  <si>
    <t>ESQUADRIA EXTERNA</t>
  </si>
  <si>
    <t>Esquadrias externas, com exposição ao risco</t>
  </si>
  <si>
    <t xml:space="preserve">MÃO DE OBRA / TIPO DE ÁREA </t>
  </si>
  <si>
    <t xml:space="preserve"> 1/(30** x Prod. Atualiz.*)</t>
  </si>
  <si>
    <t>1/(30** x Prod. Atualiz.*)</t>
  </si>
  <si>
    <t>1/(4**xProd. Atualiz.*)</t>
  </si>
  <si>
    <t>1/(30**xProd. Atualiz.*)</t>
  </si>
  <si>
    <t>1(30** xProd. Atualiz.*)</t>
  </si>
  <si>
    <t xml:space="preserve"> MATERIAIS, MÁQUINAS E EQUIPAMENTOS ALOCADOS NA EXECUÇÃO CONTRATUAL  (inciso VI do art. 21 da IN SLTI nº 2/2008</t>
  </si>
  <si>
    <r>
      <t xml:space="preserve">Valor global da proposta 
</t>
    </r>
    <r>
      <rPr>
        <b/>
        <sz val="10"/>
        <rFont val="Arial"/>
        <family val="2"/>
      </rPr>
      <t>(valor mensal do serviço x nº de meses do contrato)</t>
    </r>
  </si>
  <si>
    <t xml:space="preserve">PLANILHA DE CUSTOS E FORMAÇÃO DE PREÇOS
</t>
  </si>
  <si>
    <t xml:space="preserve">ANEXO do Pregão IFRS nº: </t>
  </si>
  <si>
    <t>xx/xx/2017</t>
  </si>
  <si>
    <t>Bento Gonçalves/RS</t>
  </si>
  <si>
    <t>PREÇO MENSAL UNITÁRIO (R$/M²) com a Produtividade Atualizada</t>
  </si>
  <si>
    <t>Esquadrias externas - Face externa sem exposição a situação de risco</t>
  </si>
  <si>
    <t>Esquadrias externas - Face interna</t>
  </si>
  <si>
    <t>UNIFORMES</t>
  </si>
  <si>
    <t>Item</t>
  </si>
  <si>
    <t>Unidade</t>
  </si>
  <si>
    <t>Quantidade anual</t>
  </si>
  <si>
    <t>valor anual</t>
  </si>
  <si>
    <t>Peça</t>
  </si>
  <si>
    <t>Sapato profissional, fechado na parte superior e no calcanhar, solado antiderrapante, confeccionado de material leve e confortável.</t>
  </si>
  <si>
    <t>Par</t>
  </si>
  <si>
    <t>Jaqueta</t>
  </si>
  <si>
    <t>Blusa de frio</t>
  </si>
  <si>
    <t>valor mês -&gt;</t>
  </si>
  <si>
    <t>RELÓGIO PONTO</t>
  </si>
  <si>
    <t>Quantidade</t>
  </si>
  <si>
    <t>Calça brim operacional</t>
  </si>
  <si>
    <t>Avental de tecido resistente ao contato com agentes químicos e fixo nas laterais a partir de tiras de tecido.</t>
  </si>
  <si>
    <t>Camiseta de algodão. (As camisetas deverão ser de mangas curtas e mangas compridas, de modo que atendam as estações de inverno e verão).</t>
  </si>
  <si>
    <t>Bota de borracha cano médio, confeccionada em PVC, impermeável, solado antiderrapante, e forro em poliéster.</t>
  </si>
  <si>
    <t>Avental de PVC impermeável, confeccionado em PVC, com alça no pescoço e na cintura para ajustes.</t>
  </si>
  <si>
    <r>
      <t xml:space="preserve">Capa de chuva, confeccionada em PVC, costurada através de solda eletrônica, com mangas, capuz, fechamento frontal através de botões de pressão.  
</t>
    </r>
    <r>
      <rPr>
        <i/>
        <sz val="10"/>
        <rFont val="Arial"/>
        <family val="2"/>
      </rPr>
      <t>Só necessária para trabalhos externos.</t>
    </r>
  </si>
  <si>
    <t>Luva descartável de látex, anatômica, lisa, ambidestra, com pó bioabsorvível, impermeável a água e outros fluidos.</t>
  </si>
  <si>
    <t>Luva de látex forrada com palma antiderrapante e cano médio.</t>
  </si>
  <si>
    <t>Luva de látex forrada com palma antiderrapante e cano longo.</t>
  </si>
  <si>
    <r>
      <t>Máscara Descartável para pó</t>
    </r>
    <r>
      <rPr>
        <sz val="10"/>
        <rFont val="Times New Roman"/>
        <family val="1"/>
      </rPr>
      <t xml:space="preserve"> </t>
    </r>
    <r>
      <rPr>
        <sz val="10"/>
        <rFont val="Arial"/>
        <family val="2"/>
      </rPr>
      <t>confeccionada em TNT (100% polipropileno), dispor lateralmente de dois elásticos roliços recobertos com algodão, em estilo retangular, com no mínimo três pregas.</t>
    </r>
  </si>
  <si>
    <t xml:space="preserve">RESPIRADOR PURIFICADOR DE AR TIPO PEÇA SEMIFACIAL FILTRANTE PARA PARTÍCULAS PFF2 (poeiras, névoas, fumos metálicos, odores incômodos de vapores orgânicos e material microbiológico). O respirador deve ser confeccionado em formato dobrável, nas laterais externas devem ter duas presilhas de material plástico, através das quais passa uma fita elástica. A parte superior externa do respirador tem que possuir uma tira metálica moldável, para ajuste no septo nasal. Deve possuir dispositivo de plástico na parte frontal dotado internamente de uma válvula de exalação. </t>
  </si>
  <si>
    <t xml:space="preserve">Óculos de Proteção, contra impactos de partículas volantes multidirecionais. Seu material deve ser de policarbonato, ponte nasal em silicone, haste com sistema deslizante e lentes com tratamento antirrisco e anti-embaçante. </t>
  </si>
  <si>
    <t>EPIs</t>
  </si>
  <si>
    <t>MATERIAIS</t>
  </si>
  <si>
    <t>EQUIPAMENTOS</t>
  </si>
  <si>
    <t>valor unitário</t>
  </si>
  <si>
    <t xml:space="preserve">Álcool líquido </t>
  </si>
  <si>
    <t>Litro</t>
  </si>
  <si>
    <t>Alvejante sanitário</t>
  </si>
  <si>
    <t>Embalagem de 5 litros</t>
  </si>
  <si>
    <t>Cera liquida incolor</t>
  </si>
  <si>
    <t>Desinfetante líquido aromatizado</t>
  </si>
  <si>
    <t>Desinfetante sanitário sólido</t>
  </si>
  <si>
    <t>Detergente líquido neutro</t>
  </si>
  <si>
    <t>Detergente multiuso a ser usado em fórmicas, paredes e divisórias</t>
  </si>
  <si>
    <t>Esponja dupla face para limpeza</t>
  </si>
  <si>
    <t xml:space="preserve">Flanela de algodão para limpeza </t>
  </si>
  <si>
    <t>Limpa vidros</t>
  </si>
  <si>
    <t>Frasco de 500 ml</t>
  </si>
  <si>
    <t>Lustra móveis</t>
  </si>
  <si>
    <t>Desodorizador de ambiente</t>
  </si>
  <si>
    <t>Frasco de 360 ml</t>
  </si>
  <si>
    <t>Sabão comum</t>
  </si>
  <si>
    <t>Barra de 400 gramas</t>
  </si>
  <si>
    <t>Saco para lixo, 100 litros, (em cores específicas para cada tipo de resíduo)</t>
  </si>
  <si>
    <t>Pacote com 100 unid.</t>
  </si>
  <si>
    <t>Saco para lixo, 50 litros, (em cores específicas para cada tipo de resíduo)</t>
  </si>
  <si>
    <t>Saco para lixo, 30 litros, (em cores específicas para cada tipo de resíduo)</t>
  </si>
  <si>
    <t>Panos/Sacos alvejados para limpeza – tamanho aprox. 50cmx70cm liso</t>
  </si>
  <si>
    <t>Saponáceo líquido c/ 500 ml</t>
  </si>
  <si>
    <t>Escova para sanitário com suporte</t>
  </si>
  <si>
    <t xml:space="preserve">Rodo de madeira com espuma 30 cm com cabo de madeira 120 cm </t>
  </si>
  <si>
    <t>Vassoura de nylon  c/ cabo longo – 120 cm</t>
  </si>
  <si>
    <t>Vasculhador para teto</t>
  </si>
  <si>
    <t>Quantidade MENSAL</t>
  </si>
  <si>
    <t>valor MENSAL</t>
  </si>
  <si>
    <t>Balde com rodízio e espremedor</t>
  </si>
  <si>
    <t>Aspirador de pó/água</t>
  </si>
  <si>
    <t>Carrinho Funcional com MOP completo</t>
  </si>
  <si>
    <t>Escada em Alumínio (de abrir) com 8 degraus</t>
  </si>
  <si>
    <t>Higienizador a vapor profissional</t>
  </si>
  <si>
    <t>Kit Unger completo - limpeza de vidro</t>
  </si>
  <si>
    <t>Lavador de alta pressão</t>
  </si>
  <si>
    <t>Balde plástico 15 litros</t>
  </si>
  <si>
    <t>Mangueira plástica ¾ com 50m e adaptadores</t>
  </si>
  <si>
    <t>Máquina de lavar roupas (com centrifugação, enxágue, lavagem, molho), para a lavagem dos panos utilizados na execução do serviço de limpeza</t>
  </si>
  <si>
    <t>unidade</t>
  </si>
  <si>
    <t>VALORES ESTIMADOS PELA ADMINISTRAÇÃO:</t>
  </si>
  <si>
    <t>A licitante deverá cotar os valores correspondentes aos seus custos nas tabelas abaixo</t>
  </si>
  <si>
    <t>*</t>
  </si>
  <si>
    <t>* valores retirados do Caderno Técnico de Limpeza 2017 do MP/SEGES</t>
  </si>
  <si>
    <t>**</t>
  </si>
  <si>
    <t>** valores obtidos através de pesquisa de mercado</t>
  </si>
  <si>
    <t>1º de janeiro de 2017</t>
  </si>
  <si>
    <r>
      <t>Transporte</t>
    </r>
    <r>
      <rPr>
        <b/>
        <sz val="8"/>
        <rFont val="Arial"/>
        <family val="2"/>
      </rPr>
      <t xml:space="preserve"> </t>
    </r>
    <r>
      <rPr>
        <b/>
        <sz val="9"/>
        <rFont val="Arial"/>
        <family val="2"/>
      </rPr>
      <t xml:space="preserve">  </t>
    </r>
    <r>
      <rPr>
        <b/>
        <sz val="9"/>
        <color rgb="FFFF0000"/>
        <rFont val="Arial"/>
        <family val="2"/>
      </rPr>
      <t>(cláusula 22 da CCT supracitada)</t>
    </r>
    <r>
      <rPr>
        <b/>
        <sz val="9"/>
        <rFont val="Arial"/>
        <family val="2"/>
      </rPr>
      <t xml:space="preserve">   </t>
    </r>
    <r>
      <rPr>
        <b/>
        <sz val="9"/>
        <color rgb="FF0000FF"/>
        <rFont val="Arial"/>
        <family val="2"/>
      </rPr>
      <t xml:space="preserve">considerando 22 dias trabalhados no mês </t>
    </r>
    <r>
      <rPr>
        <b/>
        <sz val="9"/>
        <rFont val="Arial"/>
        <family val="2"/>
      </rPr>
      <t xml:space="preserve">   </t>
    </r>
    <r>
      <rPr>
        <b/>
        <sz val="9"/>
        <color rgb="FF00B050"/>
        <rFont val="Arial"/>
        <family val="2"/>
      </rPr>
      <t xml:space="preserve">   </t>
    </r>
    <r>
      <rPr>
        <b/>
        <sz val="9"/>
        <color rgb="FF008A3E"/>
        <rFont val="Arial"/>
        <family val="2"/>
      </rPr>
      <t xml:space="preserve">  Cálculo do valor: [(2xVTx22) – (6%xSB)]</t>
    </r>
  </si>
  <si>
    <t>Relógio ponto (atende às exigências do MTE)
Amortização em 60 meses. 
Dividir pelo n° de serventes.</t>
  </si>
  <si>
    <r>
      <t xml:space="preserve">Seguro de vida     </t>
    </r>
    <r>
      <rPr>
        <b/>
        <sz val="9"/>
        <color indexed="12"/>
        <rFont val="Arial"/>
        <family val="2"/>
      </rPr>
      <t xml:space="preserve">Como não tem mais essa exigência na CCT não pode descontar do empregado    </t>
    </r>
    <r>
      <rPr>
        <b/>
        <sz val="9"/>
        <color rgb="FF008A3E"/>
        <rFont val="Arial"/>
        <family val="2"/>
      </rPr>
      <t xml:space="preserve"> Cálculo do valor = R$ 7.000,00x0,1068%</t>
    </r>
  </si>
  <si>
    <r>
      <t xml:space="preserve">Plano de benefício familiar   </t>
    </r>
    <r>
      <rPr>
        <b/>
        <sz val="9"/>
        <color indexed="10"/>
        <rFont val="Arial"/>
        <family val="2"/>
      </rPr>
      <t xml:space="preserve">(cláusula 24 da CCT supracitada)    </t>
    </r>
    <r>
      <rPr>
        <b/>
        <sz val="9"/>
        <color indexed="12"/>
        <rFont val="Arial"/>
        <family val="2"/>
      </rPr>
      <t xml:space="preserve">Suprimida a participação do empregado    </t>
    </r>
    <r>
      <rPr>
        <b/>
        <sz val="9"/>
        <color rgb="FF008A3E"/>
        <rFont val="Arial"/>
        <family val="2"/>
      </rPr>
      <t>Cálculo do valor = R$ 10,06</t>
    </r>
  </si>
  <si>
    <r>
      <t xml:space="preserve">  </t>
    </r>
    <r>
      <rPr>
        <b/>
        <sz val="10"/>
        <rFont val="Arial"/>
        <family val="2"/>
      </rPr>
      <t xml:space="preserve">a) ISS    </t>
    </r>
    <r>
      <rPr>
        <sz val="10"/>
        <color indexed="10"/>
        <rFont val="Arial"/>
        <family val="2"/>
      </rPr>
      <t>(Art. 115 da LC Municipal Nº 183, de 27/12/2013, BENTO GONÇALVES/RS)</t>
    </r>
  </si>
  <si>
    <r>
      <t xml:space="preserve">Auxílio-alimentação </t>
    </r>
    <r>
      <rPr>
        <b/>
        <sz val="9"/>
        <rFont val="Arial"/>
        <family val="2"/>
      </rPr>
      <t xml:space="preserve">(vales, cesta básica, entre outros)        </t>
    </r>
    <r>
      <rPr>
        <b/>
        <sz val="9"/>
        <color rgb="FFFF0000"/>
        <rFont val="Arial"/>
        <family val="2"/>
      </rPr>
      <t>(cláusula 20 da CCT supracitada)</t>
    </r>
    <r>
      <rPr>
        <b/>
        <sz val="9"/>
        <rFont val="Arial"/>
        <family val="2"/>
      </rPr>
      <t xml:space="preserve">      </t>
    </r>
    <r>
      <rPr>
        <b/>
        <sz val="9"/>
        <color rgb="FF0000FF"/>
        <rFont val="Arial"/>
        <family val="2"/>
      </rPr>
      <t>considerando 22 dias trabalhados no mês</t>
    </r>
    <r>
      <rPr>
        <b/>
        <sz val="9"/>
        <rFont val="Arial"/>
        <family val="2"/>
      </rPr>
      <t xml:space="preserve">    </t>
    </r>
    <r>
      <rPr>
        <b/>
        <sz val="9"/>
        <color rgb="FF008A3E"/>
        <rFont val="Arial"/>
        <family val="2"/>
      </rPr>
      <t xml:space="preserve"> Cálculo</t>
    </r>
    <r>
      <rPr>
        <b/>
        <sz val="10"/>
        <color rgb="FF00B050"/>
        <rFont val="Arial"/>
        <family val="2"/>
      </rPr>
      <t xml:space="preserve"> </t>
    </r>
    <r>
      <rPr>
        <b/>
        <sz val="9"/>
        <color rgb="FF008A3E"/>
        <rFont val="Arial"/>
        <family val="2"/>
      </rPr>
      <t>do valor = [(22xVA)-(17,5% do total do VA)]</t>
    </r>
  </si>
  <si>
    <t>LIMPEZA E CONSERVAÇÃO</t>
  </si>
  <si>
    <t>60/2017</t>
  </si>
  <si>
    <t>23419.000901.2017-41</t>
  </si>
  <si>
    <t>Pregão Eletrônico 60/2017</t>
  </si>
  <si>
    <t>"EM BRANCO"</t>
  </si>
  <si>
    <t>Nota (1): Valores mensais por  empregado.
Nota (2): Para preenchimento do Módulo 3 a licitante deve cotar os valores correspondentes aos seus custos na Plan.Auxiliar.
Nota (3): A relação e quantitativos dos Insumos Diversos consta no Edital.
Nota (4): Insumos Operacionais Administrativos: Ponto eletrônico - rateio mensal correspondente ao custo anual de 1/5 (um quinto) do valor do equipamento.</t>
  </si>
</sst>
</file>

<file path=xl/styles.xml><?xml version="1.0" encoding="utf-8"?>
<styleSheet xmlns="http://schemas.openxmlformats.org/spreadsheetml/2006/main">
  <numFmts count="12">
    <numFmt numFmtId="43" formatCode="_-* #,##0.00_-;\-* #,##0.00_-;_-* &quot;-&quot;??_-;_-@_-"/>
    <numFmt numFmtId="164" formatCode="_(&quot;R$ &quot;* #,##0.00_);_(&quot;R$ &quot;* \(#,##0.00\);_(&quot;R$ &quot;* &quot;-&quot;??_);_(@_)"/>
    <numFmt numFmtId="165" formatCode="_(* #,##0.00_);_(* \(#,##0.00\);_(* &quot;-&quot;??_);_(@_)"/>
    <numFmt numFmtId="166" formatCode="0.0000"/>
    <numFmt numFmtId="167" formatCode="#,##0.00000000"/>
    <numFmt numFmtId="168" formatCode="0.0000%"/>
    <numFmt numFmtId="169" formatCode="&quot;R$ &quot;#,##0.00"/>
    <numFmt numFmtId="170" formatCode="#,##0.00;[Red]#,##0.00"/>
    <numFmt numFmtId="171" formatCode="#,##0.00\ ;&quot; (&quot;#,##0.00\);&quot; -&quot;#\ ;@\ "/>
    <numFmt numFmtId="172" formatCode="&quot;R$&quot;\ #,##0.00"/>
    <numFmt numFmtId="173" formatCode="_(* #,##0.0000000_);_(* \(#,##0.0000000\);_(* &quot;-&quot;??_);_(@_)"/>
    <numFmt numFmtId="174" formatCode="_-* #,##0.0000000_-;\-* #,##0.0000000_-;_-* &quot;-&quot;???????_-;_-@_-"/>
  </numFmts>
  <fonts count="76">
    <font>
      <sz val="10"/>
      <name val="Arial"/>
    </font>
    <font>
      <sz val="10"/>
      <name val="Arial"/>
    </font>
    <font>
      <b/>
      <sz val="9"/>
      <name val="Arial"/>
      <family val="2"/>
    </font>
    <font>
      <sz val="9"/>
      <name val="Arial"/>
      <family val="2"/>
    </font>
    <font>
      <sz val="9"/>
      <color indexed="10"/>
      <name val="Arial"/>
      <family val="2"/>
    </font>
    <font>
      <b/>
      <sz val="8"/>
      <color indexed="81"/>
      <name val="Tahoma"/>
      <family val="2"/>
    </font>
    <font>
      <b/>
      <sz val="9"/>
      <color indexed="10"/>
      <name val="Arial"/>
      <family val="2"/>
    </font>
    <font>
      <b/>
      <sz val="18"/>
      <name val="Arial"/>
      <family val="2"/>
    </font>
    <font>
      <b/>
      <sz val="10"/>
      <name val="Arial"/>
      <family val="2"/>
    </font>
    <font>
      <b/>
      <sz val="10"/>
      <color indexed="10"/>
      <name val="Arial"/>
      <family val="2"/>
    </font>
    <font>
      <sz val="10"/>
      <name val="Arial"/>
      <family val="2"/>
    </font>
    <font>
      <sz val="10"/>
      <color indexed="10"/>
      <name val="Arial"/>
      <family val="2"/>
    </font>
    <font>
      <b/>
      <sz val="11"/>
      <name val="Arial"/>
      <family val="2"/>
    </font>
    <font>
      <b/>
      <sz val="12"/>
      <name val="Arial"/>
      <family val="2"/>
    </font>
    <font>
      <b/>
      <sz val="11"/>
      <color indexed="10"/>
      <name val="Arial"/>
      <family val="2"/>
    </font>
    <font>
      <b/>
      <sz val="18"/>
      <color indexed="10"/>
      <name val="Arial"/>
      <family val="2"/>
    </font>
    <font>
      <b/>
      <sz val="12"/>
      <color indexed="10"/>
      <name val="Arial"/>
      <family val="2"/>
    </font>
    <font>
      <b/>
      <sz val="8"/>
      <name val="Arial"/>
      <family val="2"/>
    </font>
    <font>
      <sz val="12"/>
      <name val="Arial"/>
      <family val="2"/>
    </font>
    <font>
      <sz val="11"/>
      <name val="Arial"/>
      <family val="2"/>
    </font>
    <font>
      <sz val="8.5"/>
      <color indexed="10"/>
      <name val="Arial"/>
      <family val="2"/>
    </font>
    <font>
      <b/>
      <sz val="14"/>
      <name val="Arial"/>
      <family val="2"/>
    </font>
    <font>
      <b/>
      <sz val="18"/>
      <color indexed="20"/>
      <name val="Arial"/>
      <family val="2"/>
    </font>
    <font>
      <b/>
      <sz val="10"/>
      <color indexed="20"/>
      <name val="Arial"/>
      <family val="2"/>
    </font>
    <font>
      <sz val="10"/>
      <color indexed="20"/>
      <name val="Arial"/>
      <family val="2"/>
    </font>
    <font>
      <b/>
      <sz val="14"/>
      <color indexed="12"/>
      <name val="Arial"/>
      <family val="2"/>
    </font>
    <font>
      <b/>
      <sz val="11.5"/>
      <color indexed="10"/>
      <name val="Arial"/>
      <family val="2"/>
    </font>
    <font>
      <sz val="11.5"/>
      <color indexed="10"/>
      <name val="Arial"/>
      <family val="2"/>
    </font>
    <font>
      <b/>
      <sz val="14"/>
      <color indexed="10"/>
      <name val="Arial"/>
      <family val="2"/>
    </font>
    <font>
      <sz val="14"/>
      <color indexed="10"/>
      <name val="Arial"/>
      <family val="2"/>
    </font>
    <font>
      <sz val="14"/>
      <name val="Arial"/>
      <family val="2"/>
    </font>
    <font>
      <b/>
      <sz val="8"/>
      <color indexed="10"/>
      <name val="Arial"/>
      <family val="2"/>
    </font>
    <font>
      <b/>
      <sz val="10"/>
      <color indexed="12"/>
      <name val="Arial"/>
      <family val="2"/>
    </font>
    <font>
      <b/>
      <sz val="12"/>
      <color indexed="12"/>
      <name val="Arial"/>
      <family val="2"/>
    </font>
    <font>
      <b/>
      <sz val="10"/>
      <color indexed="53"/>
      <name val="Arial"/>
      <family val="2"/>
    </font>
    <font>
      <sz val="10"/>
      <color indexed="53"/>
      <name val="Arial"/>
      <family val="2"/>
    </font>
    <font>
      <b/>
      <sz val="18"/>
      <color indexed="12"/>
      <name val="Arial"/>
      <family val="2"/>
    </font>
    <font>
      <sz val="8"/>
      <color indexed="10"/>
      <name val="Arial"/>
      <family val="2"/>
    </font>
    <font>
      <b/>
      <sz val="9.5"/>
      <color indexed="10"/>
      <name val="Arial"/>
      <family val="2"/>
    </font>
    <font>
      <b/>
      <sz val="10"/>
      <color indexed="8"/>
      <name val="Arial"/>
      <family val="2"/>
    </font>
    <font>
      <b/>
      <sz val="11"/>
      <color indexed="12"/>
      <name val="Arial"/>
      <family val="2"/>
    </font>
    <font>
      <sz val="10"/>
      <color indexed="12"/>
      <name val="Arial"/>
      <family val="2"/>
    </font>
    <font>
      <b/>
      <sz val="16"/>
      <name val="Arial"/>
      <family val="2"/>
    </font>
    <font>
      <b/>
      <sz val="16"/>
      <color indexed="10"/>
      <name val="Arial"/>
      <family val="2"/>
    </font>
    <font>
      <b/>
      <sz val="9"/>
      <color indexed="12"/>
      <name val="Arial"/>
      <family val="2"/>
    </font>
    <font>
      <b/>
      <u/>
      <sz val="10"/>
      <name val="Arial"/>
      <family val="2"/>
    </font>
    <font>
      <b/>
      <sz val="10"/>
      <color rgb="FF0000FF"/>
      <name val="Arial"/>
      <family val="2"/>
    </font>
    <font>
      <b/>
      <sz val="10"/>
      <color rgb="FFFF0000"/>
      <name val="Arial"/>
      <family val="2"/>
    </font>
    <font>
      <b/>
      <sz val="9"/>
      <color rgb="FF0070C0"/>
      <name val="Arial"/>
      <family val="2"/>
    </font>
    <font>
      <u val="singleAccounting"/>
      <sz val="10"/>
      <name val="Arial"/>
      <family val="2"/>
    </font>
    <font>
      <b/>
      <sz val="10"/>
      <color rgb="FF00B050"/>
      <name val="Arial"/>
      <family val="2"/>
    </font>
    <font>
      <b/>
      <sz val="9"/>
      <color rgb="FF0000FF"/>
      <name val="Arial"/>
      <family val="2"/>
    </font>
    <font>
      <b/>
      <sz val="9"/>
      <color rgb="FFFF0000"/>
      <name val="Arial"/>
      <family val="2"/>
    </font>
    <font>
      <b/>
      <sz val="9"/>
      <color rgb="FF00B050"/>
      <name val="Arial"/>
      <family val="2"/>
    </font>
    <font>
      <b/>
      <sz val="9"/>
      <color rgb="FF008A3E"/>
      <name val="Arial"/>
      <family val="2"/>
    </font>
    <font>
      <sz val="10"/>
      <color rgb="FFFF0000"/>
      <name val="Arial"/>
      <family val="2"/>
    </font>
    <font>
      <sz val="12"/>
      <color rgb="FF0000FF"/>
      <name val="Arial"/>
      <family val="2"/>
    </font>
    <font>
      <b/>
      <sz val="12"/>
      <color rgb="FF0000FF"/>
      <name val="Arial"/>
      <family val="2"/>
    </font>
    <font>
      <b/>
      <sz val="14"/>
      <color theme="0"/>
      <name val="Arial"/>
      <family val="2"/>
    </font>
    <font>
      <b/>
      <sz val="10"/>
      <color theme="0"/>
      <name val="Arial"/>
      <family val="2"/>
    </font>
    <font>
      <b/>
      <sz val="13"/>
      <name val="Arial"/>
      <family val="2"/>
    </font>
    <font>
      <b/>
      <sz val="11"/>
      <color theme="1"/>
      <name val="Calibri"/>
      <family val="2"/>
      <scheme val="minor"/>
    </font>
    <font>
      <b/>
      <sz val="20"/>
      <name val="Arial"/>
      <family val="2"/>
    </font>
    <font>
      <b/>
      <sz val="25"/>
      <name val="Arial"/>
      <family val="2"/>
    </font>
    <font>
      <sz val="10"/>
      <color theme="1"/>
      <name val="Arial"/>
      <family val="2"/>
    </font>
    <font>
      <sz val="10"/>
      <color rgb="FF7030A0"/>
      <name val="Arial"/>
      <family val="2"/>
    </font>
    <font>
      <sz val="10"/>
      <color theme="0" tint="-0.34998626667073579"/>
      <name val="Arial"/>
      <family val="2"/>
    </font>
    <font>
      <b/>
      <sz val="10"/>
      <color theme="1"/>
      <name val="Arial"/>
      <family val="2"/>
    </font>
    <font>
      <sz val="20"/>
      <color theme="1"/>
      <name val="Calibri"/>
      <family val="2"/>
      <scheme val="minor"/>
    </font>
    <font>
      <i/>
      <sz val="10"/>
      <name val="Arial"/>
      <family val="2"/>
    </font>
    <font>
      <sz val="10"/>
      <name val="Times New Roman"/>
      <family val="1"/>
    </font>
    <font>
      <b/>
      <sz val="15"/>
      <color rgb="FFFF0000"/>
      <name val="Arial"/>
      <family val="2"/>
    </font>
    <font>
      <b/>
      <u/>
      <sz val="15"/>
      <color rgb="FF0000FF"/>
      <name val="Arial"/>
      <family val="2"/>
    </font>
    <font>
      <sz val="10"/>
      <color rgb="FF0000FF"/>
      <name val="Arial"/>
      <family val="2"/>
    </font>
    <font>
      <b/>
      <sz val="13"/>
      <color rgb="FF0000FF"/>
      <name val="Arial"/>
      <family val="2"/>
    </font>
    <font>
      <sz val="13"/>
      <color rgb="FF0000FF"/>
      <name val="Arial"/>
      <family val="2"/>
    </font>
  </fonts>
  <fills count="31">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34"/>
        <bgColor indexed="64"/>
      </patternFill>
    </fill>
    <fill>
      <patternFill patternType="solid">
        <fgColor indexed="43"/>
        <bgColor indexed="26"/>
      </patternFill>
    </fill>
    <fill>
      <patternFill patternType="solid">
        <fgColor indexed="13"/>
        <bgColor indexed="34"/>
      </patternFill>
    </fill>
    <fill>
      <patternFill patternType="solid">
        <fgColor indexed="27"/>
        <bgColor indexed="41"/>
      </patternFill>
    </fill>
    <fill>
      <patternFill patternType="solid">
        <fgColor indexed="9"/>
        <bgColor indexed="26"/>
      </patternFill>
    </fill>
    <fill>
      <patternFill patternType="solid">
        <fgColor theme="8" tint="0.59999389629810485"/>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0000"/>
        <bgColor indexed="64"/>
      </patternFill>
    </fill>
    <fill>
      <patternFill patternType="solid">
        <fgColor rgb="FFFFFFFF"/>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6" tint="0.59999389629810485"/>
        <bgColor indexed="26"/>
      </patternFill>
    </fill>
    <fill>
      <patternFill patternType="solid">
        <fgColor theme="6" tint="0.59999389629810485"/>
        <bgColor indexed="34"/>
      </patternFill>
    </fill>
    <fill>
      <patternFill patternType="solid">
        <fgColor theme="8" tint="0.59999389629810485"/>
        <bgColor indexed="26"/>
      </patternFill>
    </fill>
    <fill>
      <patternFill patternType="solid">
        <fgColor theme="9" tint="0.59999389629810485"/>
        <bgColor indexed="26"/>
      </patternFill>
    </fill>
    <fill>
      <patternFill patternType="solid">
        <fgColor theme="8" tint="0.59999389629810485"/>
        <bgColor indexed="34"/>
      </patternFill>
    </fill>
    <fill>
      <patternFill patternType="solid">
        <fgColor theme="7" tint="0.59999389629810485"/>
        <bgColor indexed="26"/>
      </patternFill>
    </fill>
    <fill>
      <patternFill patternType="solid">
        <fgColor theme="9" tint="0.59999389629810485"/>
        <bgColor indexed="34"/>
      </patternFill>
    </fill>
    <fill>
      <patternFill patternType="solid">
        <fgColor theme="2" tint="-0.249977111117893"/>
        <bgColor indexed="26"/>
      </patternFill>
    </fill>
    <fill>
      <patternFill patternType="solid">
        <fgColor theme="0"/>
        <bgColor indexed="64"/>
      </patternFill>
    </fill>
    <fill>
      <patternFill patternType="solid">
        <fgColor rgb="FFFF0000"/>
        <bgColor indexed="26"/>
      </patternFill>
    </fill>
    <fill>
      <patternFill patternType="solid">
        <fgColor rgb="FFC2D69B"/>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8"/>
      </top>
      <bottom/>
      <diagonal/>
    </border>
    <border>
      <left/>
      <right style="thin">
        <color indexed="8"/>
      </right>
      <top/>
      <bottom style="thin">
        <color indexed="8"/>
      </bottom>
      <diagonal/>
    </border>
    <border>
      <left style="thin">
        <color indexed="8"/>
      </left>
      <right/>
      <top style="thin">
        <color indexed="8"/>
      </top>
      <bottom/>
      <diagonal/>
    </border>
    <border>
      <left style="thin">
        <color indexed="8"/>
      </left>
      <right/>
      <top/>
      <bottom/>
      <diagonal/>
    </border>
    <border>
      <left style="hair">
        <color indexed="8"/>
      </left>
      <right style="hair">
        <color indexed="8"/>
      </right>
      <top style="hair">
        <color indexed="8"/>
      </top>
      <bottom style="hair">
        <color indexed="8"/>
      </bottom>
      <diagonal/>
    </border>
    <border>
      <left style="thin">
        <color indexed="8"/>
      </left>
      <right style="thin">
        <color indexed="8"/>
      </right>
      <top style="thin">
        <color indexed="8"/>
      </top>
      <bottom/>
      <diagonal/>
    </border>
    <border>
      <left style="thin">
        <color indexed="8"/>
      </left>
      <right/>
      <top/>
      <bottom style="thin">
        <color indexed="8"/>
      </bottom>
      <diagonal/>
    </border>
    <border>
      <left/>
      <right/>
      <top/>
      <bottom style="thin">
        <color indexed="8"/>
      </bottom>
      <diagonal/>
    </border>
    <border>
      <left style="thin">
        <color indexed="64"/>
      </left>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64"/>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top style="thin">
        <color indexed="8"/>
      </top>
      <bottom/>
      <diagonal/>
    </border>
    <border>
      <left style="thin">
        <color indexed="8"/>
      </left>
      <right style="thin">
        <color indexed="64"/>
      </right>
      <top style="thin">
        <color indexed="8"/>
      </top>
      <bottom/>
      <diagonal/>
    </border>
    <border>
      <left style="thin">
        <color indexed="64"/>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right style="thin">
        <color indexed="64"/>
      </right>
      <top/>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style="thin">
        <color indexed="64"/>
      </left>
      <right style="thin">
        <color indexed="8"/>
      </right>
      <top/>
      <bottom style="thin">
        <color indexed="8"/>
      </bottom>
      <diagonal/>
    </border>
    <border>
      <left style="thin">
        <color indexed="8"/>
      </left>
      <right style="thin">
        <color indexed="64"/>
      </right>
      <top/>
      <bottom style="thin">
        <color indexed="8"/>
      </bottom>
      <diagonal/>
    </border>
    <border>
      <left style="thin">
        <color indexed="64"/>
      </left>
      <right style="thin">
        <color indexed="8"/>
      </right>
      <top style="thin">
        <color indexed="8"/>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medium">
        <color rgb="FF00000A"/>
      </right>
      <top style="medium">
        <color rgb="FF00000A"/>
      </top>
      <bottom style="medium">
        <color rgb="FF00000A"/>
      </bottom>
      <diagonal/>
    </border>
    <border>
      <left/>
      <right style="medium">
        <color rgb="FF00000A"/>
      </right>
      <top style="medium">
        <color rgb="FF00000A"/>
      </top>
      <bottom style="medium">
        <color rgb="FF00000A"/>
      </bottom>
      <diagonal/>
    </border>
    <border>
      <left style="double">
        <color indexed="64"/>
      </left>
      <right style="medium">
        <color rgb="FF00000A"/>
      </right>
      <top/>
      <bottom style="medium">
        <color rgb="FF00000A"/>
      </bottom>
      <diagonal/>
    </border>
    <border>
      <left/>
      <right style="medium">
        <color rgb="FF00000A"/>
      </right>
      <top/>
      <bottom style="medium">
        <color rgb="FF00000A"/>
      </bottom>
      <diagonal/>
    </border>
    <border>
      <left style="double">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cellStyleXfs>
  <cellXfs count="1235">
    <xf numFmtId="0" fontId="0" fillId="0" borderId="0" xfId="0"/>
    <xf numFmtId="0" fontId="3" fillId="0" borderId="0" xfId="0" applyFont="1"/>
    <xf numFmtId="0" fontId="3" fillId="0" borderId="0" xfId="0" applyFont="1" applyAlignment="1">
      <alignment horizontal="center"/>
    </xf>
    <xf numFmtId="0" fontId="3" fillId="0" borderId="0" xfId="0" applyFont="1" applyAlignment="1">
      <alignment vertical="center"/>
    </xf>
    <xf numFmtId="0" fontId="3" fillId="0" borderId="0" xfId="0" applyFont="1" applyFill="1"/>
    <xf numFmtId="0" fontId="3" fillId="0" borderId="0" xfId="0" applyFont="1" applyFill="1" applyBorder="1" applyAlignment="1">
      <alignment vertical="center"/>
    </xf>
    <xf numFmtId="10" fontId="3" fillId="0" borderId="0" xfId="3" applyNumberFormat="1" applyFont="1" applyFill="1" applyBorder="1" applyAlignment="1">
      <alignment horizontal="center" vertical="center"/>
    </xf>
    <xf numFmtId="164" fontId="3" fillId="0" borderId="0" xfId="1" applyFont="1" applyFill="1" applyBorder="1" applyAlignment="1">
      <alignment vertical="center"/>
    </xf>
    <xf numFmtId="0" fontId="3" fillId="0" borderId="0" xfId="0" applyFont="1" applyAlignment="1">
      <alignment horizontal="left"/>
    </xf>
    <xf numFmtId="165" fontId="3" fillId="0" borderId="0" xfId="0" applyNumberFormat="1" applyFont="1"/>
    <xf numFmtId="165" fontId="3" fillId="0" borderId="0" xfId="0" applyNumberFormat="1" applyFont="1" applyAlignment="1">
      <alignment vertical="center"/>
    </xf>
    <xf numFmtId="10" fontId="3" fillId="0" borderId="0" xfId="0" applyNumberFormat="1" applyFont="1"/>
    <xf numFmtId="4" fontId="3" fillId="0" borderId="0" xfId="0" applyNumberFormat="1" applyFont="1"/>
    <xf numFmtId="0" fontId="3" fillId="0" borderId="0" xfId="0" applyFont="1" applyFill="1" applyBorder="1" applyAlignment="1">
      <alignment horizontal="center" vertical="center"/>
    </xf>
    <xf numFmtId="4" fontId="3" fillId="0" borderId="0" xfId="3" applyNumberFormat="1" applyFont="1" applyFill="1" applyBorder="1" applyAlignment="1">
      <alignment horizontal="center" vertical="center"/>
    </xf>
    <xf numFmtId="39" fontId="3" fillId="0" borderId="0" xfId="1" applyNumberFormat="1" applyFont="1" applyFill="1" applyBorder="1" applyAlignment="1">
      <alignment vertical="center"/>
    </xf>
    <xf numFmtId="0" fontId="3" fillId="0" borderId="0" xfId="0" applyFont="1" applyFill="1" applyAlignment="1">
      <alignment vertical="center"/>
    </xf>
    <xf numFmtId="0" fontId="0" fillId="0" borderId="0" xfId="0" applyAlignment="1">
      <alignment horizontal="justify" vertical="top"/>
    </xf>
    <xf numFmtId="0" fontId="10" fillId="0" borderId="0" xfId="0" applyFont="1" applyBorder="1"/>
    <xf numFmtId="0" fontId="8" fillId="0" borderId="0" xfId="0" applyFont="1"/>
    <xf numFmtId="49" fontId="9" fillId="0" borderId="1" xfId="0" applyNumberFormat="1" applyFont="1" applyBorder="1" applyAlignment="1">
      <alignment horizontal="center"/>
    </xf>
    <xf numFmtId="0" fontId="9" fillId="0" borderId="1" xfId="0" applyFont="1" applyBorder="1" applyAlignment="1">
      <alignment horizontal="center"/>
    </xf>
    <xf numFmtId="39" fontId="9" fillId="0" borderId="1" xfId="0" applyNumberFormat="1" applyFont="1" applyBorder="1" applyAlignment="1">
      <alignment horizontal="right"/>
    </xf>
    <xf numFmtId="0" fontId="10" fillId="0" borderId="0" xfId="0" applyFont="1" applyAlignment="1">
      <alignment horizontal="center" wrapText="1"/>
    </xf>
    <xf numFmtId="165" fontId="9" fillId="0" borderId="0" xfId="0" applyNumberFormat="1" applyFont="1" applyBorder="1" applyAlignment="1">
      <alignment horizontal="left"/>
    </xf>
    <xf numFmtId="0" fontId="10" fillId="0" borderId="0" xfId="0" applyFont="1" applyBorder="1" applyAlignment="1">
      <alignment horizontal="center" wrapText="1"/>
    </xf>
    <xf numFmtId="0" fontId="8" fillId="0" borderId="0" xfId="0" applyFont="1" applyFill="1" applyBorder="1" applyAlignment="1">
      <alignment horizontal="left" vertical="center" wrapText="1"/>
    </xf>
    <xf numFmtId="49" fontId="9" fillId="0" borderId="1" xfId="0" applyNumberFormat="1" applyFont="1" applyBorder="1" applyAlignment="1">
      <alignment horizontal="center" vertical="center"/>
    </xf>
    <xf numFmtId="0" fontId="9" fillId="0" borderId="1" xfId="0" applyFont="1" applyBorder="1" applyAlignment="1">
      <alignment horizontal="center" vertical="center"/>
    </xf>
    <xf numFmtId="167" fontId="9" fillId="0" borderId="1" xfId="0" applyNumberFormat="1" applyFont="1" applyBorder="1" applyAlignment="1">
      <alignment horizontal="center" vertical="center"/>
    </xf>
    <xf numFmtId="0" fontId="10" fillId="0" borderId="0" xfId="0" applyFont="1" applyAlignment="1">
      <alignment horizontal="justify" vertical="top"/>
    </xf>
    <xf numFmtId="0" fontId="10" fillId="0" borderId="1" xfId="0" applyFont="1" applyBorder="1"/>
    <xf numFmtId="167" fontId="9" fillId="0" borderId="1" xfId="0" applyNumberFormat="1" applyFont="1" applyBorder="1"/>
    <xf numFmtId="4" fontId="9" fillId="0" borderId="1" xfId="0" applyNumberFormat="1" applyFont="1" applyBorder="1"/>
    <xf numFmtId="4" fontId="9" fillId="0" borderId="1" xfId="0" applyNumberFormat="1" applyFont="1" applyBorder="1" applyAlignment="1">
      <alignment horizontal="right" vertical="center"/>
    </xf>
    <xf numFmtId="0" fontId="8"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8" fillId="3" borderId="0" xfId="0" applyFont="1" applyFill="1"/>
    <xf numFmtId="0" fontId="8" fillId="3" borderId="0" xfId="0" applyFont="1" applyFill="1" applyAlignment="1">
      <alignment horizontal="right" vertical="center" wrapText="1"/>
    </xf>
    <xf numFmtId="0" fontId="8" fillId="3" borderId="0" xfId="0" applyFont="1" applyFill="1" applyBorder="1" applyAlignment="1">
      <alignment horizontal="right" vertical="center" wrapText="1"/>
    </xf>
    <xf numFmtId="165" fontId="9" fillId="3" borderId="0" xfId="0" applyNumberFormat="1" applyFont="1" applyFill="1" applyBorder="1" applyAlignment="1">
      <alignment horizontal="left"/>
    </xf>
    <xf numFmtId="0" fontId="10" fillId="3" borderId="0" xfId="0" applyFont="1" applyFill="1" applyBorder="1" applyAlignment="1">
      <alignment horizontal="right" vertical="center" wrapText="1"/>
    </xf>
    <xf numFmtId="0" fontId="10" fillId="3" borderId="0" xfId="0" applyFont="1" applyFill="1" applyAlignment="1">
      <alignment horizontal="justify" vertical="top"/>
    </xf>
    <xf numFmtId="0" fontId="10" fillId="3" borderId="0" xfId="0" applyFont="1" applyFill="1" applyAlignment="1">
      <alignment horizontal="center" wrapText="1"/>
    </xf>
    <xf numFmtId="0" fontId="3" fillId="3" borderId="0" xfId="0" applyFont="1" applyFill="1" applyAlignment="1">
      <alignment horizontal="right" vertical="center" wrapText="1"/>
    </xf>
    <xf numFmtId="0" fontId="3" fillId="3" borderId="0" xfId="0" applyFont="1" applyFill="1"/>
    <xf numFmtId="0" fontId="3" fillId="0" borderId="0" xfId="0" applyFont="1" applyAlignment="1">
      <alignment horizontal="justify"/>
    </xf>
    <xf numFmtId="10" fontId="8" fillId="0" borderId="1" xfId="0" applyNumberFormat="1" applyFont="1" applyBorder="1" applyAlignment="1">
      <alignment horizontal="right" vertical="center" wrapText="1"/>
    </xf>
    <xf numFmtId="39" fontId="8" fillId="0" borderId="2" xfId="0" applyNumberFormat="1" applyFont="1" applyBorder="1" applyAlignment="1">
      <alignment horizontal="right"/>
    </xf>
    <xf numFmtId="39" fontId="9" fillId="0" borderId="2" xfId="0" applyNumberFormat="1" applyFont="1" applyBorder="1" applyAlignment="1">
      <alignment horizontal="right"/>
    </xf>
    <xf numFmtId="4" fontId="8" fillId="0" borderId="1" xfId="0" applyNumberFormat="1" applyFont="1" applyFill="1" applyBorder="1" applyAlignment="1">
      <alignment horizontal="right" vertical="center"/>
    </xf>
    <xf numFmtId="0" fontId="8" fillId="0" borderId="1" xfId="0" applyFont="1" applyFill="1" applyBorder="1" applyAlignment="1">
      <alignment horizontal="center" vertical="center"/>
    </xf>
    <xf numFmtId="0" fontId="12" fillId="2" borderId="1" xfId="0" applyFont="1" applyFill="1" applyBorder="1" applyAlignment="1">
      <alignment horizontal="center" vertical="center" wrapText="1"/>
    </xf>
    <xf numFmtId="4" fontId="8" fillId="2" borderId="1" xfId="0" applyNumberFormat="1" applyFont="1" applyFill="1" applyBorder="1" applyAlignment="1">
      <alignment horizontal="right" vertical="center" wrapText="1"/>
    </xf>
    <xf numFmtId="4" fontId="8" fillId="2" borderId="1" xfId="0" applyNumberFormat="1" applyFont="1" applyFill="1" applyBorder="1" applyAlignment="1">
      <alignment horizontal="right" vertical="center"/>
    </xf>
    <xf numFmtId="0" fontId="8" fillId="2" borderId="1" xfId="0" applyFont="1" applyFill="1" applyBorder="1" applyAlignment="1">
      <alignment horizontal="right" vertical="center"/>
    </xf>
    <xf numFmtId="10" fontId="8" fillId="0" borderId="1" xfId="0" applyNumberFormat="1" applyFont="1" applyBorder="1" applyAlignment="1">
      <alignment horizontal="right" vertical="center"/>
    </xf>
    <xf numFmtId="4" fontId="8" fillId="2" borderId="1" xfId="0" applyNumberFormat="1" applyFont="1" applyFill="1" applyBorder="1" applyAlignment="1">
      <alignment horizontal="right"/>
    </xf>
    <xf numFmtId="0" fontId="3" fillId="2" borderId="0" xfId="0" applyFont="1" applyFill="1"/>
    <xf numFmtId="0" fontId="12" fillId="2" borderId="2" xfId="0" applyFont="1" applyFill="1" applyBorder="1" applyAlignment="1">
      <alignment horizontal="center" vertical="center" wrapText="1"/>
    </xf>
    <xf numFmtId="0" fontId="0" fillId="4" borderId="3" xfId="0" applyFill="1" applyBorder="1" applyAlignment="1">
      <alignment horizontal="center" vertical="center"/>
    </xf>
    <xf numFmtId="0" fontId="0" fillId="4" borderId="4" xfId="0" applyFill="1" applyBorder="1" applyAlignment="1">
      <alignment horizontal="center" vertical="center"/>
    </xf>
    <xf numFmtId="0" fontId="21" fillId="4" borderId="5" xfId="0" applyFont="1" applyFill="1" applyBorder="1" applyAlignment="1">
      <alignment horizontal="center" vertical="center"/>
    </xf>
    <xf numFmtId="0" fontId="8" fillId="4" borderId="5" xfId="0" applyFont="1" applyFill="1" applyBorder="1" applyAlignment="1">
      <alignment horizontal="right" vertical="center"/>
    </xf>
    <xf numFmtId="0" fontId="0" fillId="4" borderId="3" xfId="0" applyFill="1" applyBorder="1" applyAlignment="1">
      <alignment horizontal="right" vertical="center"/>
    </xf>
    <xf numFmtId="10" fontId="8" fillId="4" borderId="3" xfId="0" applyNumberFormat="1" applyFont="1" applyFill="1" applyBorder="1" applyAlignment="1">
      <alignment horizontal="right" vertical="center"/>
    </xf>
    <xf numFmtId="4" fontId="8" fillId="4" borderId="4" xfId="0" applyNumberFormat="1" applyFont="1" applyFill="1" applyBorder="1" applyAlignment="1">
      <alignment horizontal="right" vertical="center"/>
    </xf>
    <xf numFmtId="4" fontId="12" fillId="2" borderId="1" xfId="0" applyNumberFormat="1" applyFont="1" applyFill="1" applyBorder="1" applyAlignment="1">
      <alignment vertical="center"/>
    </xf>
    <xf numFmtId="0" fontId="9" fillId="0" borderId="1" xfId="0" applyFont="1" applyFill="1" applyBorder="1" applyAlignment="1">
      <alignment horizontal="center" vertical="center"/>
    </xf>
    <xf numFmtId="10" fontId="9" fillId="0" borderId="1" xfId="0" applyNumberFormat="1" applyFont="1" applyBorder="1" applyAlignment="1">
      <alignment horizontal="center" vertical="center"/>
    </xf>
    <xf numFmtId="10" fontId="8" fillId="0" borderId="1" xfId="0" applyNumberFormat="1" applyFont="1" applyBorder="1" applyAlignment="1">
      <alignment horizontal="center" vertical="center" wrapText="1"/>
    </xf>
    <xf numFmtId="10" fontId="8" fillId="0" borderId="1" xfId="0" applyNumberFormat="1" applyFont="1" applyBorder="1" applyAlignment="1">
      <alignment horizontal="center" vertical="center"/>
    </xf>
    <xf numFmtId="4" fontId="8" fillId="0" borderId="1" xfId="0" applyNumberFormat="1" applyFont="1" applyFill="1" applyBorder="1" applyAlignment="1">
      <alignment horizontal="center" vertical="center"/>
    </xf>
    <xf numFmtId="49" fontId="6" fillId="0" borderId="1" xfId="0" applyNumberFormat="1" applyFont="1" applyBorder="1" applyAlignment="1">
      <alignment horizontal="center" vertical="center"/>
    </xf>
    <xf numFmtId="0" fontId="12" fillId="2" borderId="1"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1" xfId="0" applyFont="1" applyFill="1" applyBorder="1" applyAlignment="1">
      <alignment horizontal="center"/>
    </xf>
    <xf numFmtId="0" fontId="10" fillId="2" borderId="1" xfId="0" applyFont="1" applyFill="1" applyBorder="1" applyAlignment="1">
      <alignment horizontal="center" vertical="center"/>
    </xf>
    <xf numFmtId="0" fontId="10" fillId="0" borderId="1" xfId="0" applyFont="1" applyBorder="1" applyAlignment="1">
      <alignment horizontal="left" wrapText="1"/>
    </xf>
    <xf numFmtId="39" fontId="9" fillId="2" borderId="1" xfId="0" applyNumberFormat="1" applyFont="1" applyFill="1" applyBorder="1" applyAlignment="1">
      <alignment horizontal="right"/>
    </xf>
    <xf numFmtId="0" fontId="8" fillId="2" borderId="2" xfId="0" applyFont="1" applyFill="1" applyBorder="1" applyAlignment="1">
      <alignment horizontal="center" vertical="center" wrapText="1"/>
    </xf>
    <xf numFmtId="39" fontId="9" fillId="2" borderId="1" xfId="0" applyNumberFormat="1" applyFont="1" applyFill="1" applyBorder="1" applyAlignment="1">
      <alignment horizontal="right" vertical="center"/>
    </xf>
    <xf numFmtId="0" fontId="8" fillId="0" borderId="5" xfId="0" applyFont="1" applyFill="1" applyBorder="1" applyAlignment="1">
      <alignment horizontal="center" vertical="center"/>
    </xf>
    <xf numFmtId="0" fontId="8" fillId="0" borderId="1" xfId="0" applyFont="1" applyBorder="1" applyAlignment="1">
      <alignment horizontal="center" vertical="center" wrapText="1"/>
    </xf>
    <xf numFmtId="10" fontId="8" fillId="0" borderId="1" xfId="0" applyNumberFormat="1" applyFont="1" applyFill="1" applyBorder="1" applyAlignment="1">
      <alignment horizontal="center" vertical="center"/>
    </xf>
    <xf numFmtId="10" fontId="8" fillId="0" borderId="1" xfId="0" applyNumberFormat="1" applyFont="1" applyFill="1" applyBorder="1" applyAlignment="1">
      <alignment vertical="center"/>
    </xf>
    <xf numFmtId="4" fontId="8" fillId="0" borderId="1" xfId="0" applyNumberFormat="1" applyFont="1" applyFill="1" applyBorder="1" applyAlignment="1">
      <alignment vertical="center"/>
    </xf>
    <xf numFmtId="4" fontId="8" fillId="0" borderId="1" xfId="0" applyNumberFormat="1" applyFont="1" applyBorder="1" applyAlignment="1">
      <alignment horizontal="right" vertical="center"/>
    </xf>
    <xf numFmtId="4" fontId="8" fillId="0" borderId="1" xfId="0" applyNumberFormat="1" applyFont="1" applyBorder="1" applyAlignment="1">
      <alignment horizontal="center" vertical="center"/>
    </xf>
    <xf numFmtId="4" fontId="8" fillId="0" borderId="1" xfId="0" applyNumberFormat="1" applyFont="1" applyBorder="1" applyAlignment="1">
      <alignment horizontal="right" vertical="center" wrapText="1"/>
    </xf>
    <xf numFmtId="169" fontId="6" fillId="0" borderId="1" xfId="0" applyNumberFormat="1" applyFont="1" applyBorder="1" applyAlignment="1">
      <alignment vertical="center"/>
    </xf>
    <xf numFmtId="10" fontId="8" fillId="0" borderId="1" xfId="0" applyNumberFormat="1" applyFont="1" applyFill="1" applyBorder="1" applyAlignment="1">
      <alignment horizontal="right" vertical="center"/>
    </xf>
    <xf numFmtId="0" fontId="8" fillId="0" borderId="1" xfId="0" applyFont="1" applyFill="1" applyBorder="1" applyAlignment="1">
      <alignment horizontal="right" vertical="center"/>
    </xf>
    <xf numFmtId="0" fontId="8" fillId="0" borderId="1" xfId="0" applyFont="1" applyFill="1" applyBorder="1" applyAlignment="1">
      <alignment horizontal="center"/>
    </xf>
    <xf numFmtId="4" fontId="8" fillId="0" borderId="1" xfId="0" applyNumberFormat="1" applyFont="1" applyFill="1" applyBorder="1" applyAlignment="1"/>
    <xf numFmtId="4" fontId="8" fillId="0" borderId="1" xfId="0" applyNumberFormat="1" applyFont="1" applyFill="1" applyBorder="1" applyAlignment="1">
      <alignment horizontal="right"/>
    </xf>
    <xf numFmtId="4" fontId="9" fillId="0" borderId="1" xfId="0" applyNumberFormat="1" applyFont="1" applyFill="1" applyBorder="1" applyAlignment="1">
      <alignment horizontal="right" vertical="center"/>
    </xf>
    <xf numFmtId="10" fontId="9" fillId="0" borderId="1" xfId="0" applyNumberFormat="1" applyFont="1" applyBorder="1" applyAlignment="1">
      <alignment horizontal="right" vertical="center"/>
    </xf>
    <xf numFmtId="49" fontId="8" fillId="0" borderId="1" xfId="0" applyNumberFormat="1" applyFont="1" applyBorder="1" applyAlignment="1">
      <alignment horizontal="center" vertical="center" wrapText="1"/>
    </xf>
    <xf numFmtId="39" fontId="8" fillId="0" borderId="1" xfId="0" applyNumberFormat="1" applyFont="1" applyBorder="1" applyAlignment="1">
      <alignment horizontal="right"/>
    </xf>
    <xf numFmtId="4" fontId="8" fillId="0" borderId="2" xfId="0" applyNumberFormat="1" applyFont="1" applyBorder="1" applyAlignment="1">
      <alignment horizontal="right" wrapText="1"/>
    </xf>
    <xf numFmtId="4" fontId="8" fillId="0" borderId="1" xfId="0" applyNumberFormat="1" applyFont="1" applyBorder="1" applyAlignment="1">
      <alignment horizontal="right" wrapText="1"/>
    </xf>
    <xf numFmtId="0" fontId="8" fillId="5"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10" fillId="5" borderId="1" xfId="0" applyFont="1" applyFill="1" applyBorder="1" applyAlignment="1">
      <alignment horizontal="left" vertical="center" wrapText="1"/>
    </xf>
    <xf numFmtId="0" fontId="3" fillId="5"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2" fontId="8" fillId="2" borderId="1" xfId="0" applyNumberFormat="1" applyFont="1" applyFill="1" applyBorder="1" applyAlignment="1">
      <alignment horizontal="right" vertical="center"/>
    </xf>
    <xf numFmtId="168" fontId="8" fillId="0" borderId="1" xfId="0" applyNumberFormat="1" applyFont="1" applyBorder="1" applyAlignment="1">
      <alignment horizontal="right" vertical="center"/>
    </xf>
    <xf numFmtId="168" fontId="8" fillId="2" borderId="1" xfId="0" applyNumberFormat="1" applyFont="1" applyFill="1" applyBorder="1" applyAlignment="1">
      <alignment horizontal="right" vertical="center"/>
    </xf>
    <xf numFmtId="0" fontId="8" fillId="0" borderId="1" xfId="0" applyFont="1" applyBorder="1" applyAlignment="1">
      <alignment horizontal="right" vertical="center" wrapText="1"/>
    </xf>
    <xf numFmtId="9" fontId="8" fillId="0" borderId="1" xfId="0" applyNumberFormat="1" applyFont="1" applyBorder="1" applyAlignment="1">
      <alignment horizontal="left" vertical="center" wrapText="1"/>
    </xf>
    <xf numFmtId="166" fontId="8" fillId="0" borderId="1" xfId="0" applyNumberFormat="1" applyFont="1" applyBorder="1" applyAlignment="1">
      <alignment horizontal="left" vertical="center" wrapText="1"/>
    </xf>
    <xf numFmtId="4" fontId="6" fillId="0" borderId="1" xfId="0" applyNumberFormat="1" applyFont="1" applyBorder="1" applyAlignment="1" applyProtection="1">
      <alignment vertical="center"/>
    </xf>
    <xf numFmtId="0" fontId="13" fillId="0" borderId="1" xfId="0" applyFont="1" applyFill="1" applyBorder="1" applyAlignment="1">
      <alignment horizontal="center" vertical="center"/>
    </xf>
    <xf numFmtId="4" fontId="12" fillId="2" borderId="1" xfId="0" applyNumberFormat="1" applyFont="1" applyFill="1" applyBorder="1" applyAlignment="1">
      <alignment horizontal="center" vertical="center" wrapText="1"/>
    </xf>
    <xf numFmtId="49" fontId="8" fillId="0" borderId="5" xfId="0" applyNumberFormat="1" applyFont="1" applyBorder="1" applyAlignment="1">
      <alignment horizontal="center" vertical="center" wrapText="1"/>
    </xf>
    <xf numFmtId="39" fontId="9" fillId="0" borderId="3" xfId="0" applyNumberFormat="1" applyFont="1" applyBorder="1" applyAlignment="1">
      <alignment horizontal="right"/>
    </xf>
    <xf numFmtId="0" fontId="8" fillId="6" borderId="3" xfId="0" applyFont="1" applyFill="1" applyBorder="1" applyAlignment="1">
      <alignment vertical="center"/>
    </xf>
    <xf numFmtId="4" fontId="11" fillId="6" borderId="3" xfId="0" applyNumberFormat="1" applyFont="1" applyFill="1" applyBorder="1" applyAlignment="1">
      <alignment horizontal="right" vertical="center" wrapText="1"/>
    </xf>
    <xf numFmtId="0" fontId="10" fillId="6" borderId="4" xfId="0" applyFont="1" applyFill="1" applyBorder="1" applyAlignment="1">
      <alignment horizontal="right" vertical="center" wrapText="1"/>
    </xf>
    <xf numFmtId="0" fontId="8" fillId="6" borderId="5" xfId="0" applyFont="1" applyFill="1" applyBorder="1" applyAlignment="1">
      <alignment horizontal="center" vertical="center"/>
    </xf>
    <xf numFmtId="168" fontId="8" fillId="0" borderId="1" xfId="0" applyNumberFormat="1" applyFont="1" applyBorder="1" applyAlignment="1">
      <alignment horizontal="center" vertical="center"/>
    </xf>
    <xf numFmtId="10" fontId="8" fillId="2" borderId="1" xfId="0" applyNumberFormat="1" applyFont="1" applyFill="1" applyBorder="1" applyAlignment="1">
      <alignment horizontal="right" vertical="center"/>
    </xf>
    <xf numFmtId="4" fontId="8" fillId="0" borderId="1" xfId="0" applyNumberFormat="1" applyFont="1" applyBorder="1" applyAlignment="1">
      <alignment horizontal="center" vertical="center" wrapText="1"/>
    </xf>
    <xf numFmtId="0" fontId="12" fillId="7" borderId="6" xfId="0" applyFont="1" applyFill="1" applyBorder="1" applyAlignment="1">
      <alignment horizontal="center" vertical="center" wrapText="1"/>
    </xf>
    <xf numFmtId="0" fontId="8" fillId="0" borderId="6" xfId="0" applyFont="1" applyBorder="1" applyAlignment="1">
      <alignment horizontal="center" vertical="center" wrapText="1"/>
    </xf>
    <xf numFmtId="0" fontId="8" fillId="7" borderId="6" xfId="0" applyFont="1" applyFill="1" applyBorder="1" applyAlignment="1">
      <alignment horizontal="center" vertical="center" wrapText="1"/>
    </xf>
    <xf numFmtId="4" fontId="8" fillId="0" borderId="6" xfId="0" applyNumberFormat="1" applyFont="1" applyBorder="1" applyAlignment="1">
      <alignment horizontal="right" vertical="center" wrapText="1"/>
    </xf>
    <xf numFmtId="0" fontId="0" fillId="7" borderId="6" xfId="0" applyFont="1" applyFill="1" applyBorder="1" applyAlignment="1">
      <alignment horizontal="center" vertical="center"/>
    </xf>
    <xf numFmtId="0" fontId="12" fillId="7" borderId="7" xfId="0" applyFont="1" applyFill="1" applyBorder="1" applyAlignment="1">
      <alignment horizontal="center" vertical="center" wrapText="1"/>
    </xf>
    <xf numFmtId="0" fontId="8" fillId="7" borderId="7" xfId="0" applyFont="1" applyFill="1" applyBorder="1" applyAlignment="1">
      <alignment horizontal="center" vertical="center" wrapText="1"/>
    </xf>
    <xf numFmtId="4" fontId="8" fillId="0" borderId="6" xfId="0" applyNumberFormat="1" applyFont="1" applyFill="1" applyBorder="1" applyAlignment="1">
      <alignment vertical="center"/>
    </xf>
    <xf numFmtId="10" fontId="8" fillId="0" borderId="6" xfId="0" applyNumberFormat="1" applyFont="1" applyFill="1" applyBorder="1" applyAlignment="1">
      <alignment vertical="center"/>
    </xf>
    <xf numFmtId="4" fontId="12" fillId="7" borderId="6" xfId="0" applyNumberFormat="1" applyFont="1" applyFill="1" applyBorder="1" applyAlignment="1">
      <alignment vertical="center"/>
    </xf>
    <xf numFmtId="0" fontId="8" fillId="0" borderId="6" xfId="0" applyFont="1" applyFill="1" applyBorder="1" applyAlignment="1">
      <alignment horizontal="center" vertical="center"/>
    </xf>
    <xf numFmtId="0" fontId="12" fillId="7" borderId="6" xfId="0" applyFont="1" applyFill="1" applyBorder="1" applyAlignment="1">
      <alignment horizontal="center" vertical="center"/>
    </xf>
    <xf numFmtId="4" fontId="8" fillId="0" borderId="6" xfId="0" applyNumberFormat="1" applyFont="1" applyBorder="1" applyAlignment="1">
      <alignment horizontal="right" vertical="center"/>
    </xf>
    <xf numFmtId="169" fontId="6" fillId="0" borderId="6" xfId="0" applyNumberFormat="1" applyFont="1" applyBorder="1" applyAlignment="1">
      <alignment vertical="center"/>
    </xf>
    <xf numFmtId="4" fontId="8" fillId="0" borderId="6" xfId="0" applyNumberFormat="1" applyFont="1" applyBorder="1" applyAlignment="1">
      <alignment horizontal="center" vertical="center"/>
    </xf>
    <xf numFmtId="4" fontId="6" fillId="0" borderId="6" xfId="0" applyNumberFormat="1" applyFont="1" applyBorder="1" applyAlignment="1">
      <alignment vertical="center"/>
    </xf>
    <xf numFmtId="4" fontId="8" fillId="7" borderId="6" xfId="0" applyNumberFormat="1" applyFont="1" applyFill="1" applyBorder="1" applyAlignment="1">
      <alignment horizontal="right" vertical="center"/>
    </xf>
    <xf numFmtId="0" fontId="8" fillId="7" borderId="6" xfId="0" applyFont="1" applyFill="1" applyBorder="1" applyAlignment="1">
      <alignment horizontal="right" vertical="center"/>
    </xf>
    <xf numFmtId="4" fontId="8" fillId="7" borderId="6" xfId="0" applyNumberFormat="1" applyFont="1" applyFill="1" applyBorder="1" applyAlignment="1">
      <alignment horizontal="right" vertical="center" wrapText="1"/>
    </xf>
    <xf numFmtId="0" fontId="21" fillId="8" borderId="8" xfId="0" applyFont="1" applyFill="1" applyBorder="1" applyAlignment="1">
      <alignment horizontal="center" vertical="center"/>
    </xf>
    <xf numFmtId="0" fontId="0" fillId="8" borderId="9" xfId="0" applyFill="1" applyBorder="1" applyAlignment="1">
      <alignment horizontal="center" vertical="center"/>
    </xf>
    <xf numFmtId="0" fontId="0" fillId="8" borderId="10" xfId="0" applyFill="1" applyBorder="1" applyAlignment="1">
      <alignment horizontal="center" vertical="center"/>
    </xf>
    <xf numFmtId="0" fontId="12" fillId="7" borderId="8" xfId="0" applyFont="1" applyFill="1" applyBorder="1" applyAlignment="1">
      <alignment horizontal="center" vertical="center"/>
    </xf>
    <xf numFmtId="0" fontId="8" fillId="0" borderId="8" xfId="0" applyFont="1" applyFill="1" applyBorder="1" applyAlignment="1">
      <alignment horizontal="center" vertical="center"/>
    </xf>
    <xf numFmtId="10" fontId="8" fillId="0" borderId="6" xfId="0" applyNumberFormat="1" applyFont="1" applyFill="1" applyBorder="1" applyAlignment="1">
      <alignment horizontal="right" vertical="center"/>
    </xf>
    <xf numFmtId="4" fontId="8" fillId="0" borderId="6" xfId="0" applyNumberFormat="1" applyFont="1" applyFill="1" applyBorder="1" applyAlignment="1">
      <alignment horizontal="right" vertical="center"/>
    </xf>
    <xf numFmtId="10" fontId="8" fillId="0" borderId="6" xfId="0" applyNumberFormat="1" applyFont="1" applyBorder="1" applyAlignment="1">
      <alignment horizontal="right" vertical="center"/>
    </xf>
    <xf numFmtId="0" fontId="12" fillId="0" borderId="9" xfId="0" applyFont="1" applyBorder="1" applyAlignment="1">
      <alignment horizontal="right" vertical="center" wrapText="1"/>
    </xf>
    <xf numFmtId="10" fontId="8" fillId="0" borderId="9" xfId="0" applyNumberFormat="1" applyFont="1" applyBorder="1" applyAlignment="1">
      <alignment horizontal="left" vertical="center" wrapText="1"/>
    </xf>
    <xf numFmtId="166" fontId="8" fillId="0" borderId="10" xfId="0" applyNumberFormat="1" applyFont="1" applyBorder="1" applyAlignment="1">
      <alignment horizontal="left" vertical="center" wrapText="1"/>
    </xf>
    <xf numFmtId="168" fontId="8" fillId="0" borderId="6" xfId="0" applyNumberFormat="1" applyFont="1" applyBorder="1" applyAlignment="1">
      <alignment horizontal="right" vertical="center"/>
    </xf>
    <xf numFmtId="168" fontId="8" fillId="7" borderId="6" xfId="0" applyNumberFormat="1" applyFont="1" applyFill="1" applyBorder="1" applyAlignment="1">
      <alignment horizontal="right" vertical="center"/>
    </xf>
    <xf numFmtId="0" fontId="8" fillId="8" borderId="8" xfId="0" applyFont="1" applyFill="1" applyBorder="1" applyAlignment="1">
      <alignment horizontal="right" vertical="center"/>
    </xf>
    <xf numFmtId="0" fontId="0" fillId="8" borderId="9" xfId="0" applyFill="1" applyBorder="1" applyAlignment="1">
      <alignment horizontal="right" vertical="center"/>
    </xf>
    <xf numFmtId="10" fontId="8" fillId="8" borderId="9" xfId="0" applyNumberFormat="1" applyFont="1" applyFill="1" applyBorder="1" applyAlignment="1">
      <alignment horizontal="right" vertical="center"/>
    </xf>
    <xf numFmtId="4" fontId="8" fillId="8" borderId="10" xfId="0" applyNumberFormat="1" applyFont="1" applyFill="1" applyBorder="1" applyAlignment="1">
      <alignment horizontal="right" vertical="center"/>
    </xf>
    <xf numFmtId="2" fontId="8" fillId="7" borderId="6" xfId="0" applyNumberFormat="1" applyFont="1" applyFill="1" applyBorder="1" applyAlignment="1">
      <alignment horizontal="right" vertical="center"/>
    </xf>
    <xf numFmtId="0" fontId="8" fillId="0" borderId="6" xfId="0" applyFont="1" applyFill="1" applyBorder="1" applyAlignment="1">
      <alignment horizontal="right" vertical="center"/>
    </xf>
    <xf numFmtId="0" fontId="12" fillId="7" borderId="6" xfId="0" applyFont="1" applyFill="1" applyBorder="1" applyAlignment="1">
      <alignment horizontal="center"/>
    </xf>
    <xf numFmtId="0" fontId="8" fillId="0" borderId="6" xfId="0" applyFont="1" applyFill="1" applyBorder="1" applyAlignment="1">
      <alignment horizontal="center"/>
    </xf>
    <xf numFmtId="4" fontId="8" fillId="0" borderId="6" xfId="0" applyNumberFormat="1" applyFont="1" applyFill="1" applyBorder="1" applyAlignment="1"/>
    <xf numFmtId="4" fontId="8" fillId="0" borderId="6" xfId="0" applyNumberFormat="1" applyFont="1" applyFill="1" applyBorder="1" applyAlignment="1">
      <alignment horizontal="right"/>
    </xf>
    <xf numFmtId="4" fontId="8" fillId="7" borderId="6" xfId="0" applyNumberFormat="1" applyFont="1" applyFill="1" applyBorder="1" applyAlignment="1">
      <alignment horizontal="right"/>
    </xf>
    <xf numFmtId="4" fontId="12" fillId="7" borderId="6" xfId="0" applyNumberFormat="1" applyFont="1" applyFill="1" applyBorder="1" applyAlignment="1">
      <alignment horizontal="center" vertical="center"/>
    </xf>
    <xf numFmtId="0" fontId="9" fillId="0" borderId="6" xfId="0" applyFont="1" applyFill="1" applyBorder="1" applyAlignment="1">
      <alignment horizontal="center" vertical="center"/>
    </xf>
    <xf numFmtId="4" fontId="9" fillId="0" borderId="6" xfId="0" applyNumberFormat="1" applyFont="1" applyFill="1" applyBorder="1" applyAlignment="1">
      <alignment horizontal="right" vertical="center"/>
    </xf>
    <xf numFmtId="10" fontId="9" fillId="0" borderId="6" xfId="0" applyNumberFormat="1" applyFont="1" applyBorder="1" applyAlignment="1">
      <alignment horizontal="center" vertical="center"/>
    </xf>
    <xf numFmtId="10" fontId="8" fillId="0" borderId="6" xfId="0" applyNumberFormat="1" applyFont="1" applyBorder="1" applyAlignment="1">
      <alignment horizontal="center" vertical="center"/>
    </xf>
    <xf numFmtId="4" fontId="8" fillId="0" borderId="6" xfId="0" applyNumberFormat="1" applyFont="1" applyFill="1" applyBorder="1" applyAlignment="1">
      <alignment horizontal="center" vertical="center"/>
    </xf>
    <xf numFmtId="10" fontId="8" fillId="0" borderId="6" xfId="0" applyNumberFormat="1" applyFont="1" applyBorder="1" applyAlignment="1">
      <alignment horizontal="right" vertical="center" wrapText="1"/>
    </xf>
    <xf numFmtId="10" fontId="8" fillId="0" borderId="6" xfId="0" applyNumberFormat="1" applyFont="1" applyBorder="1" applyAlignment="1">
      <alignment horizontal="center" vertical="center" wrapText="1"/>
    </xf>
    <xf numFmtId="10" fontId="9" fillId="0" borderId="6" xfId="0" applyNumberFormat="1" applyFont="1" applyBorder="1" applyAlignment="1">
      <alignment horizontal="right" vertical="center"/>
    </xf>
    <xf numFmtId="4" fontId="9" fillId="0" borderId="6" xfId="0" applyNumberFormat="1" applyFont="1" applyBorder="1" applyAlignment="1">
      <alignment horizontal="right" vertical="center"/>
    </xf>
    <xf numFmtId="49" fontId="8" fillId="0" borderId="6" xfId="0" applyNumberFormat="1" applyFont="1" applyBorder="1" applyAlignment="1">
      <alignment horizontal="center" vertical="center" wrapText="1"/>
    </xf>
    <xf numFmtId="49" fontId="0" fillId="0" borderId="8" xfId="0" applyNumberFormat="1" applyFont="1" applyBorder="1" applyAlignment="1">
      <alignment horizontal="center" vertical="center" wrapText="1"/>
    </xf>
    <xf numFmtId="0" fontId="8" fillId="9" borderId="6"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0" fillId="9" borderId="6" xfId="0" applyFont="1" applyFill="1" applyBorder="1" applyAlignment="1">
      <alignment horizontal="left" vertical="center" wrapText="1"/>
    </xf>
    <xf numFmtId="0" fontId="3" fillId="9" borderId="6" xfId="0" applyFont="1" applyFill="1" applyBorder="1" applyAlignment="1">
      <alignment horizontal="center" vertical="center" wrapText="1"/>
    </xf>
    <xf numFmtId="0" fontId="0" fillId="9" borderId="6" xfId="0" applyFont="1" applyFill="1" applyBorder="1" applyAlignment="1">
      <alignment horizontal="center" vertical="center" wrapText="1"/>
    </xf>
    <xf numFmtId="49" fontId="0" fillId="9" borderId="6" xfId="0" applyNumberFormat="1" applyFont="1" applyFill="1" applyBorder="1" applyAlignment="1">
      <alignment horizontal="center" vertical="center" wrapText="1"/>
    </xf>
    <xf numFmtId="171" fontId="9" fillId="0" borderId="0" xfId="0" applyNumberFormat="1" applyFont="1" applyBorder="1" applyAlignment="1">
      <alignment horizontal="left"/>
    </xf>
    <xf numFmtId="171" fontId="9" fillId="10" borderId="0" xfId="0" applyNumberFormat="1" applyFont="1" applyFill="1" applyBorder="1" applyAlignment="1">
      <alignment horizontal="left"/>
    </xf>
    <xf numFmtId="0" fontId="8" fillId="10" borderId="0" xfId="0" applyFont="1" applyFill="1"/>
    <xf numFmtId="0" fontId="0" fillId="0" borderId="6" xfId="0" applyFont="1" applyBorder="1" applyAlignment="1">
      <alignment horizontal="left" wrapText="1"/>
    </xf>
    <xf numFmtId="49" fontId="9" fillId="0" borderId="6" xfId="0" applyNumberFormat="1" applyFont="1" applyBorder="1" applyAlignment="1">
      <alignment horizontal="center" vertical="center"/>
    </xf>
    <xf numFmtId="0" fontId="17" fillId="7" borderId="6" xfId="0" applyFont="1" applyFill="1" applyBorder="1" applyAlignment="1">
      <alignment horizontal="center" vertical="center" wrapText="1"/>
    </xf>
    <xf numFmtId="0" fontId="9" fillId="0" borderId="6" xfId="0" applyFont="1" applyBorder="1" applyAlignment="1">
      <alignment horizontal="center" vertical="center"/>
    </xf>
    <xf numFmtId="167" fontId="9" fillId="0" borderId="6" xfId="0" applyNumberFormat="1" applyFont="1" applyBorder="1" applyAlignment="1">
      <alignment horizontal="center" vertical="center"/>
    </xf>
    <xf numFmtId="49" fontId="6" fillId="0" borderId="6" xfId="0" applyNumberFormat="1" applyFont="1" applyBorder="1" applyAlignment="1">
      <alignment horizontal="center" vertical="center"/>
    </xf>
    <xf numFmtId="49" fontId="9" fillId="0" borderId="6" xfId="0" applyNumberFormat="1" applyFont="1" applyBorder="1" applyAlignment="1">
      <alignment horizontal="center"/>
    </xf>
    <xf numFmtId="0" fontId="9" fillId="0" borderId="6" xfId="0" applyFont="1" applyBorder="1" applyAlignment="1">
      <alignment horizontal="center"/>
    </xf>
    <xf numFmtId="0" fontId="0" fillId="10" borderId="0" xfId="0" applyFont="1" applyFill="1" applyBorder="1" applyAlignment="1">
      <alignment horizontal="right" vertical="center" wrapText="1"/>
    </xf>
    <xf numFmtId="0" fontId="0" fillId="7" borderId="6" xfId="0" applyFont="1" applyFill="1" applyBorder="1" applyAlignment="1">
      <alignment horizontal="center" vertical="center" wrapText="1"/>
    </xf>
    <xf numFmtId="0" fontId="0" fillId="0" borderId="6" xfId="0" applyFont="1" applyBorder="1"/>
    <xf numFmtId="167" fontId="9" fillId="0" borderId="6" xfId="0" applyNumberFormat="1" applyFont="1" applyBorder="1"/>
    <xf numFmtId="4" fontId="9" fillId="0" borderId="6" xfId="0" applyNumberFormat="1" applyFont="1" applyBorder="1"/>
    <xf numFmtId="0" fontId="8" fillId="10" borderId="0" xfId="0" applyFont="1" applyFill="1" applyAlignment="1">
      <alignment horizontal="right" vertical="center" wrapText="1"/>
    </xf>
    <xf numFmtId="0" fontId="8" fillId="10" borderId="0" xfId="0" applyFont="1" applyFill="1" applyBorder="1" applyAlignment="1">
      <alignment horizontal="right" vertical="center" wrapText="1"/>
    </xf>
    <xf numFmtId="39" fontId="8" fillId="0" borderId="6" xfId="0" applyNumberFormat="1" applyFont="1" applyBorder="1" applyAlignment="1">
      <alignment horizontal="right"/>
    </xf>
    <xf numFmtId="39" fontId="9" fillId="7" borderId="6" xfId="0" applyNumberFormat="1" applyFont="1" applyFill="1" applyBorder="1" applyAlignment="1">
      <alignment horizontal="right"/>
    </xf>
    <xf numFmtId="4" fontId="8" fillId="0" borderId="7" xfId="0" applyNumberFormat="1" applyFont="1" applyBorder="1" applyAlignment="1">
      <alignment horizontal="right" wrapText="1"/>
    </xf>
    <xf numFmtId="4" fontId="8" fillId="0" borderId="6" xfId="0" applyNumberFormat="1" applyFont="1" applyBorder="1" applyAlignment="1">
      <alignment horizontal="right" wrapText="1"/>
    </xf>
    <xf numFmtId="39" fontId="9" fillId="7" borderId="6" xfId="0" applyNumberFormat="1" applyFont="1" applyFill="1" applyBorder="1" applyAlignment="1">
      <alignment horizontal="right" vertical="center"/>
    </xf>
    <xf numFmtId="39" fontId="8" fillId="0" borderId="7" xfId="0" applyNumberFormat="1" applyFont="1" applyBorder="1" applyAlignment="1">
      <alignment horizontal="right"/>
    </xf>
    <xf numFmtId="39" fontId="9" fillId="0" borderId="7" xfId="0" applyNumberFormat="1" applyFont="1" applyBorder="1" applyAlignment="1">
      <alignment horizontal="right"/>
    </xf>
    <xf numFmtId="39" fontId="9" fillId="0" borderId="6" xfId="0" applyNumberFormat="1" applyFont="1" applyBorder="1" applyAlignment="1">
      <alignment horizontal="right"/>
    </xf>
    <xf numFmtId="0" fontId="3" fillId="10" borderId="0" xfId="0" applyFont="1" applyFill="1"/>
    <xf numFmtId="0" fontId="12" fillId="0" borderId="5" xfId="0" applyFont="1" applyFill="1" applyBorder="1" applyAlignment="1">
      <alignment horizontal="center" vertical="center" wrapText="1"/>
    </xf>
    <xf numFmtId="172" fontId="33" fillId="0" borderId="1" xfId="0" applyNumberFormat="1" applyFont="1" applyBorder="1" applyAlignment="1">
      <alignment horizontal="center" vertical="center" wrapText="1"/>
    </xf>
    <xf numFmtId="4" fontId="0" fillId="0" borderId="0" xfId="0" applyNumberFormat="1"/>
    <xf numFmtId="165" fontId="0" fillId="0" borderId="0" xfId="3" applyFont="1"/>
    <xf numFmtId="0" fontId="46" fillId="0" borderId="10" xfId="0" applyFont="1" applyBorder="1" applyAlignment="1">
      <alignment horizontal="center" vertical="center" wrapText="1"/>
    </xf>
    <xf numFmtId="9" fontId="0" fillId="0" borderId="0" xfId="2" applyFont="1"/>
    <xf numFmtId="0" fontId="0" fillId="0" borderId="0" xfId="0" applyFill="1"/>
    <xf numFmtId="4" fontId="8" fillId="0" borderId="1" xfId="0" applyNumberFormat="1" applyFont="1" applyFill="1" applyBorder="1" applyAlignment="1">
      <alignment horizontal="right" vertical="center" wrapText="1"/>
    </xf>
    <xf numFmtId="0" fontId="2" fillId="0" borderId="6" xfId="0" applyFont="1" applyFill="1" applyBorder="1" applyAlignment="1">
      <alignment horizontal="center" vertical="center" wrapText="1"/>
    </xf>
    <xf numFmtId="43" fontId="2" fillId="0" borderId="6" xfId="3" applyNumberFormat="1" applyFont="1" applyFill="1" applyBorder="1" applyAlignment="1">
      <alignment horizontal="right" vertical="center" wrapText="1"/>
    </xf>
    <xf numFmtId="16" fontId="0" fillId="0" borderId="0" xfId="0" applyNumberFormat="1"/>
    <xf numFmtId="43" fontId="0" fillId="0" borderId="0" xfId="0" applyNumberFormat="1"/>
    <xf numFmtId="2" fontId="47" fillId="0" borderId="0" xfId="0" applyNumberFormat="1" applyFont="1" applyFill="1"/>
    <xf numFmtId="169" fontId="3" fillId="0" borderId="0" xfId="0" applyNumberFormat="1" applyFont="1"/>
    <xf numFmtId="0" fontId="8" fillId="0" borderId="6" xfId="0" applyFont="1" applyFill="1" applyBorder="1" applyAlignment="1">
      <alignment horizontal="center" vertical="center"/>
    </xf>
    <xf numFmtId="0" fontId="8" fillId="0" borderId="6" xfId="0" applyFont="1" applyBorder="1" applyAlignment="1">
      <alignment horizontal="center" vertical="center" wrapText="1"/>
    </xf>
    <xf numFmtId="4" fontId="8" fillId="12" borderId="6" xfId="0" applyNumberFormat="1" applyFont="1" applyFill="1" applyBorder="1" applyAlignment="1">
      <alignment horizontal="center" vertical="center"/>
    </xf>
    <xf numFmtId="165" fontId="0" fillId="0" borderId="0" xfId="3" applyFont="1" applyFill="1"/>
    <xf numFmtId="43" fontId="0" fillId="0" borderId="0" xfId="0" applyNumberFormat="1" applyFill="1"/>
    <xf numFmtId="3" fontId="6" fillId="0" borderId="6" xfId="0" applyNumberFormat="1" applyFont="1" applyBorder="1" applyAlignment="1">
      <alignment vertical="center"/>
    </xf>
    <xf numFmtId="0" fontId="10" fillId="0" borderId="0" xfId="0" applyFont="1"/>
    <xf numFmtId="0" fontId="55" fillId="0" borderId="0" xfId="0" applyFont="1" applyFill="1"/>
    <xf numFmtId="0" fontId="10" fillId="0" borderId="0" xfId="0" applyFont="1" applyFill="1"/>
    <xf numFmtId="173" fontId="0" fillId="0" borderId="0" xfId="3" applyNumberFormat="1" applyFont="1" applyFill="1"/>
    <xf numFmtId="174" fontId="0" fillId="0" borderId="0" xfId="0" applyNumberFormat="1"/>
    <xf numFmtId="39" fontId="8" fillId="0" borderId="8" xfId="0" applyNumberFormat="1" applyFont="1" applyBorder="1" applyAlignment="1">
      <alignment horizontal="right"/>
    </xf>
    <xf numFmtId="0" fontId="13" fillId="0" borderId="0" xfId="0" applyFont="1" applyFill="1" applyBorder="1" applyAlignment="1">
      <alignment horizontal="center" vertical="center" wrapText="1"/>
    </xf>
    <xf numFmtId="0" fontId="18" fillId="0" borderId="0" xfId="0" applyFont="1"/>
    <xf numFmtId="0" fontId="13" fillId="0" borderId="14" xfId="0" applyFont="1" applyFill="1" applyBorder="1" applyAlignment="1">
      <alignment horizontal="left" vertical="center"/>
    </xf>
    <xf numFmtId="0" fontId="13" fillId="0" borderId="44" xfId="0" applyFont="1" applyFill="1" applyBorder="1" applyAlignment="1">
      <alignment horizontal="center" vertical="center" wrapText="1"/>
    </xf>
    <xf numFmtId="0" fontId="13" fillId="0" borderId="0" xfId="0" applyFont="1" applyFill="1" applyBorder="1" applyAlignment="1">
      <alignment vertical="center"/>
    </xf>
    <xf numFmtId="0" fontId="56" fillId="0" borderId="0" xfId="0" applyFont="1"/>
    <xf numFmtId="0" fontId="57" fillId="0" borderId="14" xfId="0" applyFont="1" applyFill="1" applyBorder="1" applyAlignment="1">
      <alignment horizontal="left" vertical="center"/>
    </xf>
    <xf numFmtId="0" fontId="57" fillId="0" borderId="0" xfId="0" applyFont="1" applyFill="1" applyBorder="1" applyAlignment="1">
      <alignment horizontal="center" vertical="center" wrapText="1"/>
    </xf>
    <xf numFmtId="0" fontId="56" fillId="0" borderId="0" xfId="0" applyFont="1" applyBorder="1"/>
    <xf numFmtId="0" fontId="57" fillId="0" borderId="0" xfId="0" applyFont="1" applyFill="1" applyBorder="1" applyAlignment="1">
      <alignment vertical="center"/>
    </xf>
    <xf numFmtId="0" fontId="57" fillId="0" borderId="44" xfId="0" applyFont="1" applyFill="1" applyBorder="1" applyAlignment="1">
      <alignment horizontal="center" vertical="center" wrapText="1"/>
    </xf>
    <xf numFmtId="0" fontId="18" fillId="0" borderId="0" xfId="0" applyFont="1" applyBorder="1"/>
    <xf numFmtId="0" fontId="13" fillId="0" borderId="0" xfId="0" applyFont="1" applyFill="1" applyBorder="1" applyAlignment="1">
      <alignment vertical="center" wrapText="1"/>
    </xf>
    <xf numFmtId="0" fontId="13" fillId="0" borderId="0" xfId="0" applyFont="1" applyFill="1" applyBorder="1" applyAlignment="1">
      <alignment horizontal="left" vertical="center" wrapText="1"/>
    </xf>
    <xf numFmtId="0" fontId="13" fillId="0" borderId="13" xfId="0" applyFont="1" applyFill="1" applyBorder="1" applyAlignment="1">
      <alignment horizontal="left" vertical="center"/>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9" fillId="0" borderId="0" xfId="0" applyFont="1"/>
    <xf numFmtId="0" fontId="8" fillId="0" borderId="0" xfId="0" applyFont="1" applyBorder="1" applyAlignment="1">
      <alignment horizontal="left" vertical="center" wrapText="1"/>
    </xf>
    <xf numFmtId="0" fontId="0" fillId="0" borderId="0" xfId="0" applyBorder="1"/>
    <xf numFmtId="0" fontId="8" fillId="0" borderId="0" xfId="0" applyFont="1" applyFill="1" applyBorder="1" applyAlignment="1">
      <alignment horizontal="center"/>
    </xf>
    <xf numFmtId="0" fontId="8" fillId="22" borderId="6" xfId="0" applyFont="1" applyFill="1" applyBorder="1" applyAlignment="1">
      <alignment horizontal="center" vertical="center" wrapText="1"/>
    </xf>
    <xf numFmtId="0" fontId="17" fillId="22" borderId="6" xfId="0" applyFont="1" applyFill="1" applyBorder="1" applyAlignment="1">
      <alignment horizontal="center" vertical="center" wrapText="1"/>
    </xf>
    <xf numFmtId="0" fontId="10" fillId="11" borderId="6" xfId="0" applyFont="1" applyFill="1" applyBorder="1" applyAlignment="1">
      <alignment horizontal="left" wrapText="1"/>
    </xf>
    <xf numFmtId="0" fontId="47" fillId="11" borderId="6" xfId="0" applyFont="1" applyFill="1" applyBorder="1" applyAlignment="1">
      <alignment horizontal="center"/>
    </xf>
    <xf numFmtId="167" fontId="47" fillId="11" borderId="6" xfId="0" applyNumberFormat="1" applyFont="1" applyFill="1" applyBorder="1"/>
    <xf numFmtId="4" fontId="47" fillId="11" borderId="6" xfId="0" applyNumberFormat="1" applyFont="1" applyFill="1" applyBorder="1"/>
    <xf numFmtId="2" fontId="47" fillId="11" borderId="6" xfId="0" applyNumberFormat="1" applyFont="1" applyFill="1" applyBorder="1" applyAlignment="1">
      <alignment horizontal="center"/>
    </xf>
    <xf numFmtId="0" fontId="0" fillId="11" borderId="6" xfId="0" applyFont="1" applyFill="1" applyBorder="1" applyAlignment="1">
      <alignment horizontal="left" wrapText="1"/>
    </xf>
    <xf numFmtId="0" fontId="9" fillId="11" borderId="6" xfId="0" applyFont="1" applyFill="1" applyBorder="1" applyAlignment="1">
      <alignment horizontal="center" vertical="center"/>
    </xf>
    <xf numFmtId="167" fontId="9" fillId="11" borderId="6" xfId="0" applyNumberFormat="1" applyFont="1" applyFill="1" applyBorder="1" applyAlignment="1">
      <alignment horizontal="center" vertical="center"/>
    </xf>
    <xf numFmtId="4" fontId="9" fillId="11" borderId="6" xfId="0" applyNumberFormat="1" applyFont="1" applyFill="1" applyBorder="1" applyAlignment="1">
      <alignment horizontal="right" vertical="center"/>
    </xf>
    <xf numFmtId="0" fontId="9" fillId="11" borderId="6" xfId="0" applyFont="1" applyFill="1" applyBorder="1" applyAlignment="1">
      <alignment horizontal="center"/>
    </xf>
    <xf numFmtId="49" fontId="47" fillId="11" borderId="6" xfId="0" applyNumberFormat="1" applyFont="1" applyFill="1" applyBorder="1" applyAlignment="1">
      <alignment horizontal="center" wrapText="1"/>
    </xf>
    <xf numFmtId="0" fontId="0" fillId="18" borderId="6" xfId="0" applyFont="1" applyFill="1" applyBorder="1"/>
    <xf numFmtId="49" fontId="9" fillId="18" borderId="6" xfId="0" applyNumberFormat="1" applyFont="1" applyFill="1" applyBorder="1" applyAlignment="1">
      <alignment horizontal="center" wrapText="1"/>
    </xf>
    <xf numFmtId="0" fontId="9" fillId="18" borderId="6" xfId="0" applyFont="1" applyFill="1" applyBorder="1" applyAlignment="1">
      <alignment horizontal="center"/>
    </xf>
    <xf numFmtId="167" fontId="9" fillId="18" borderId="6" xfId="0" applyNumberFormat="1" applyFont="1" applyFill="1" applyBorder="1"/>
    <xf numFmtId="4" fontId="9" fillId="18" borderId="6" xfId="0" applyNumberFormat="1" applyFont="1" applyFill="1" applyBorder="1"/>
    <xf numFmtId="2" fontId="47" fillId="18" borderId="6" xfId="0" applyNumberFormat="1" applyFont="1" applyFill="1" applyBorder="1" applyAlignment="1">
      <alignment horizontal="center"/>
    </xf>
    <xf numFmtId="0" fontId="0" fillId="25" borderId="7" xfId="0" applyFont="1" applyFill="1" applyBorder="1" applyAlignment="1">
      <alignment horizontal="center" vertical="center" wrapText="1"/>
    </xf>
    <xf numFmtId="0" fontId="65" fillId="28" borderId="0" xfId="0" applyFont="1" applyFill="1"/>
    <xf numFmtId="0" fontId="58" fillId="15" borderId="0" xfId="0" applyFont="1" applyFill="1"/>
    <xf numFmtId="0" fontId="59" fillId="15" borderId="0" xfId="0" applyFont="1" applyFill="1"/>
    <xf numFmtId="0" fontId="59" fillId="29" borderId="0" xfId="0" applyFont="1" applyFill="1"/>
    <xf numFmtId="0" fontId="0" fillId="0" borderId="51" xfId="0" applyBorder="1"/>
    <xf numFmtId="0" fontId="68" fillId="0" borderId="52" xfId="0" applyFont="1" applyBorder="1"/>
    <xf numFmtId="0" fontId="0" fillId="0" borderId="52" xfId="0" applyBorder="1"/>
    <xf numFmtId="0" fontId="0" fillId="0" borderId="53" xfId="0" applyBorder="1"/>
    <xf numFmtId="0" fontId="0" fillId="0" borderId="54" xfId="0" applyBorder="1"/>
    <xf numFmtId="0" fontId="0" fillId="0" borderId="55" xfId="0" applyBorder="1"/>
    <xf numFmtId="0" fontId="67" fillId="30" borderId="56" xfId="0" applyFont="1" applyFill="1" applyBorder="1" applyAlignment="1">
      <alignment horizontal="center" wrapText="1"/>
    </xf>
    <xf numFmtId="0" fontId="67" fillId="30" borderId="1" xfId="0" applyFont="1" applyFill="1" applyBorder="1" applyAlignment="1">
      <alignment horizontal="center" wrapText="1"/>
    </xf>
    <xf numFmtId="0" fontId="67" fillId="30" borderId="57" xfId="0" applyFont="1" applyFill="1" applyBorder="1" applyAlignment="1">
      <alignment horizontal="center" wrapText="1"/>
    </xf>
    <xf numFmtId="0" fontId="64" fillId="16" borderId="56" xfId="0" applyFont="1" applyFill="1" applyBorder="1" applyAlignment="1">
      <alignment horizontal="center" wrapText="1"/>
    </xf>
    <xf numFmtId="0" fontId="64" fillId="16" borderId="1" xfId="0" applyFont="1" applyFill="1" applyBorder="1" applyAlignment="1">
      <alignment vertical="top" wrapText="1"/>
    </xf>
    <xf numFmtId="0" fontId="64" fillId="16" borderId="1" xfId="0" applyFont="1" applyFill="1" applyBorder="1" applyAlignment="1">
      <alignment horizontal="center" wrapText="1"/>
    </xf>
    <xf numFmtId="43" fontId="64" fillId="16" borderId="1" xfId="3" applyNumberFormat="1" applyFont="1" applyFill="1" applyBorder="1" applyAlignment="1">
      <alignment horizontal="center" wrapText="1"/>
    </xf>
    <xf numFmtId="43" fontId="0" fillId="0" borderId="57" xfId="0" applyNumberFormat="1" applyBorder="1"/>
    <xf numFmtId="0" fontId="64" fillId="16" borderId="1" xfId="0" applyFont="1" applyFill="1" applyBorder="1" applyAlignment="1">
      <alignment horizontal="justify" vertical="top" wrapText="1"/>
    </xf>
    <xf numFmtId="0" fontId="64" fillId="16" borderId="56" xfId="0" applyFont="1" applyFill="1" applyBorder="1" applyAlignment="1">
      <alignment horizontal="center" vertical="top" wrapText="1"/>
    </xf>
    <xf numFmtId="43" fontId="61" fillId="0" borderId="57" xfId="0" applyNumberFormat="1" applyFont="1" applyBorder="1"/>
    <xf numFmtId="0" fontId="0" fillId="14" borderId="0" xfId="0" applyFill="1" applyBorder="1"/>
    <xf numFmtId="43" fontId="61" fillId="14" borderId="57" xfId="0" applyNumberFormat="1" applyFont="1" applyFill="1" applyBorder="1"/>
    <xf numFmtId="0" fontId="0" fillId="0" borderId="58" xfId="0" applyBorder="1"/>
    <xf numFmtId="0" fontId="0" fillId="0" borderId="59" xfId="0" applyBorder="1"/>
    <xf numFmtId="0" fontId="67" fillId="30" borderId="60" xfId="0" applyFont="1" applyFill="1" applyBorder="1" applyAlignment="1">
      <alignment horizontal="center" wrapText="1"/>
    </xf>
    <xf numFmtId="0" fontId="67" fillId="30" borderId="61" xfId="0" applyFont="1" applyFill="1" applyBorder="1" applyAlignment="1">
      <alignment horizontal="center" wrapText="1"/>
    </xf>
    <xf numFmtId="0" fontId="64" fillId="16" borderId="62" xfId="0" applyFont="1" applyFill="1" applyBorder="1" applyAlignment="1">
      <alignment horizontal="center" wrapText="1"/>
    </xf>
    <xf numFmtId="0" fontId="64" fillId="16" borderId="63" xfId="0" applyFont="1" applyFill="1" applyBorder="1" applyAlignment="1">
      <alignment vertical="top" wrapText="1"/>
    </xf>
    <xf numFmtId="0" fontId="64" fillId="16" borderId="63" xfId="0" applyFont="1" applyFill="1" applyBorder="1" applyAlignment="1">
      <alignment horizontal="center" wrapText="1"/>
    </xf>
    <xf numFmtId="0" fontId="10" fillId="16" borderId="1" xfId="0" applyFont="1" applyFill="1" applyBorder="1" applyAlignment="1">
      <alignment horizontal="justify" vertical="top" wrapText="1"/>
    </xf>
    <xf numFmtId="0" fontId="10" fillId="16" borderId="1" xfId="0" applyFont="1" applyFill="1" applyBorder="1" applyAlignment="1">
      <alignment horizontal="center" wrapText="1"/>
    </xf>
    <xf numFmtId="0" fontId="8" fillId="0" borderId="0" xfId="0" applyFont="1" applyFill="1" applyBorder="1" applyAlignment="1">
      <alignment horizontal="center" wrapText="1"/>
    </xf>
    <xf numFmtId="0" fontId="0" fillId="0" borderId="11" xfId="0" applyBorder="1"/>
    <xf numFmtId="0" fontId="0" fillId="0" borderId="12" xfId="0" applyBorder="1"/>
    <xf numFmtId="0" fontId="8" fillId="0" borderId="54" xfId="0" applyFont="1" applyFill="1" applyBorder="1" applyAlignment="1">
      <alignment horizontal="center" wrapText="1"/>
    </xf>
    <xf numFmtId="0" fontId="0" fillId="0" borderId="64" xfId="0" applyBorder="1"/>
    <xf numFmtId="0" fontId="67" fillId="11" borderId="56" xfId="0" applyFont="1" applyFill="1" applyBorder="1" applyAlignment="1">
      <alignment horizontal="center" wrapText="1"/>
    </xf>
    <xf numFmtId="0" fontId="67" fillId="11" borderId="1" xfId="0" applyFont="1" applyFill="1" applyBorder="1" applyAlignment="1">
      <alignment horizontal="center" wrapText="1"/>
    </xf>
    <xf numFmtId="0" fontId="67" fillId="11" borderId="57" xfId="0" applyFont="1" applyFill="1" applyBorder="1" applyAlignment="1">
      <alignment horizontal="center" wrapText="1"/>
    </xf>
    <xf numFmtId="0" fontId="0" fillId="0" borderId="44" xfId="0" applyBorder="1"/>
    <xf numFmtId="0" fontId="71" fillId="0" borderId="0" xfId="0" applyFont="1"/>
    <xf numFmtId="165" fontId="75" fillId="0" borderId="1" xfId="3" applyFont="1" applyBorder="1"/>
    <xf numFmtId="165" fontId="75" fillId="0" borderId="65" xfId="3" applyFont="1" applyBorder="1"/>
    <xf numFmtId="0" fontId="72" fillId="0" borderId="15" xfId="0" applyFont="1" applyBorder="1" applyAlignment="1">
      <alignment horizontal="right"/>
    </xf>
    <xf numFmtId="0" fontId="73" fillId="0" borderId="16" xfId="0" applyFont="1" applyBorder="1"/>
    <xf numFmtId="0" fontId="73" fillId="0" borderId="17" xfId="0" applyFont="1" applyBorder="1"/>
    <xf numFmtId="0" fontId="74" fillId="0" borderId="14" xfId="0" applyFont="1" applyBorder="1" applyAlignment="1">
      <alignment horizontal="right"/>
    </xf>
    <xf numFmtId="0" fontId="75" fillId="0" borderId="44" xfId="0" applyFont="1" applyBorder="1"/>
    <xf numFmtId="0" fontId="74" fillId="0" borderId="66" xfId="0" applyFont="1" applyBorder="1" applyAlignment="1">
      <alignment horizontal="right"/>
    </xf>
    <xf numFmtId="0" fontId="75" fillId="0" borderId="67" xfId="0" applyFont="1" applyBorder="1"/>
    <xf numFmtId="0" fontId="19" fillId="0" borderId="14" xfId="0" applyFont="1" applyBorder="1"/>
    <xf numFmtId="0" fontId="19" fillId="0" borderId="13" xfId="0" applyFont="1" applyBorder="1"/>
    <xf numFmtId="0" fontId="8" fillId="0" borderId="0" xfId="0" applyFont="1" applyBorder="1" applyAlignment="1">
      <alignment horizontal="left" vertical="center" wrapText="1"/>
    </xf>
    <xf numFmtId="4" fontId="9" fillId="0" borderId="5" xfId="0" applyNumberFormat="1" applyFont="1" applyBorder="1" applyAlignment="1">
      <alignment horizontal="center" vertical="center"/>
    </xf>
    <xf numFmtId="4" fontId="9" fillId="0" borderId="3" xfId="0" applyNumberFormat="1" applyFont="1" applyBorder="1" applyAlignment="1">
      <alignment horizontal="center" vertical="center"/>
    </xf>
    <xf numFmtId="0" fontId="0" fillId="0" borderId="4" xfId="0" applyBorder="1" applyAlignment="1">
      <alignment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 xfId="0" applyBorder="1" applyAlignment="1">
      <alignment vertical="center" wrapText="1"/>
    </xf>
    <xf numFmtId="4" fontId="9" fillId="0" borderId="1" xfId="0" applyNumberFormat="1" applyFont="1" applyBorder="1" applyAlignment="1">
      <alignment horizontal="center" vertical="center"/>
    </xf>
    <xf numFmtId="0" fontId="9" fillId="0" borderId="5"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4" fontId="9" fillId="0" borderId="2" xfId="0" applyNumberFormat="1" applyFont="1" applyBorder="1" applyAlignment="1">
      <alignment horizontal="center" vertical="center"/>
    </xf>
    <xf numFmtId="0" fontId="9" fillId="0" borderId="5" xfId="0" applyNumberFormat="1" applyFont="1" applyBorder="1" applyAlignment="1">
      <alignment horizontal="center" vertical="center"/>
    </xf>
    <xf numFmtId="0" fontId="9" fillId="0" borderId="3" xfId="0" applyNumberFormat="1" applyFont="1" applyBorder="1" applyAlignment="1">
      <alignment horizontal="center" vertical="center"/>
    </xf>
    <xf numFmtId="0" fontId="8" fillId="2" borderId="15" xfId="0" applyFont="1" applyFill="1" applyBorder="1" applyAlignment="1">
      <alignment horizontal="right" vertical="center" wrapText="1"/>
    </xf>
    <xf numFmtId="0" fontId="8" fillId="2" borderId="16" xfId="0" applyFont="1" applyFill="1" applyBorder="1" applyAlignment="1">
      <alignment horizontal="right" vertical="center" wrapText="1"/>
    </xf>
    <xf numFmtId="0" fontId="0" fillId="2" borderId="16" xfId="0" applyFill="1" applyBorder="1" applyAlignment="1">
      <alignment horizontal="right" vertical="center" wrapText="1"/>
    </xf>
    <xf numFmtId="0" fontId="0" fillId="2" borderId="17" xfId="0" applyFill="1" applyBorder="1" applyAlignment="1">
      <alignment horizontal="right" vertical="center" wrapText="1"/>
    </xf>
    <xf numFmtId="4" fontId="9" fillId="0" borderId="5" xfId="0" applyNumberFormat="1" applyFont="1" applyBorder="1" applyAlignment="1">
      <alignment horizontal="center" vertical="center" wrapText="1"/>
    </xf>
    <xf numFmtId="4" fontId="8" fillId="0" borderId="4" xfId="0" applyNumberFormat="1" applyFont="1" applyBorder="1" applyAlignment="1">
      <alignment horizontal="center" vertical="center" wrapText="1"/>
    </xf>
    <xf numFmtId="0" fontId="9" fillId="0" borderId="2" xfId="0" applyNumberFormat="1" applyFont="1" applyFill="1" applyBorder="1" applyAlignment="1">
      <alignment horizontal="center" vertical="center"/>
    </xf>
    <xf numFmtId="0" fontId="3" fillId="0" borderId="2" xfId="0" applyFont="1" applyBorder="1" applyAlignment="1">
      <alignment horizontal="left" wrapText="1"/>
    </xf>
    <xf numFmtId="0" fontId="10" fillId="0" borderId="2" xfId="0" applyFont="1" applyBorder="1" applyAlignment="1">
      <alignment horizontal="left" wrapText="1"/>
    </xf>
    <xf numFmtId="0" fontId="9" fillId="0" borderId="1" xfId="0" applyNumberFormat="1" applyFont="1" applyBorder="1" applyAlignment="1">
      <alignment horizontal="center" vertical="center"/>
    </xf>
    <xf numFmtId="2" fontId="9" fillId="0" borderId="5" xfId="0" applyNumberFormat="1" applyFont="1" applyBorder="1" applyAlignment="1">
      <alignment horizontal="center" vertical="center" wrapText="1"/>
    </xf>
    <xf numFmtId="2" fontId="8" fillId="0" borderId="3" xfId="0" applyNumberFormat="1" applyFont="1" applyBorder="1" applyAlignment="1">
      <alignment horizontal="center" vertical="center" wrapText="1"/>
    </xf>
    <xf numFmtId="0" fontId="8" fillId="0" borderId="3" xfId="0" applyNumberFormat="1" applyFont="1" applyBorder="1" applyAlignment="1">
      <alignment horizontal="center" vertical="center"/>
    </xf>
    <xf numFmtId="0" fontId="10" fillId="0" borderId="5" xfId="0" applyFont="1" applyBorder="1" applyAlignment="1">
      <alignment horizontal="left" vertical="center" wrapText="1"/>
    </xf>
    <xf numFmtId="0" fontId="10" fillId="0" borderId="4" xfId="0" applyFont="1" applyBorder="1" applyAlignment="1">
      <alignment horizontal="left" vertical="center" wrapText="1"/>
    </xf>
    <xf numFmtId="0" fontId="8" fillId="0" borderId="15" xfId="0" applyFont="1" applyBorder="1" applyAlignment="1">
      <alignment horizontal="right" vertical="center" wrapText="1"/>
    </xf>
    <xf numFmtId="0" fontId="8" fillId="0" borderId="16" xfId="0" applyFont="1" applyBorder="1" applyAlignment="1">
      <alignment horizontal="right" vertical="center" wrapText="1"/>
    </xf>
    <xf numFmtId="0" fontId="0" fillId="0" borderId="16" xfId="0" applyBorder="1" applyAlignment="1">
      <alignment horizontal="right" vertical="center" wrapText="1"/>
    </xf>
    <xf numFmtId="0" fontId="0" fillId="0" borderId="17" xfId="0" applyBorder="1" applyAlignment="1">
      <alignment horizontal="right" vertical="center" wrapText="1"/>
    </xf>
    <xf numFmtId="0" fontId="10" fillId="0" borderId="5" xfId="0" applyFont="1" applyBorder="1" applyAlignment="1">
      <alignment horizontal="left" wrapText="1"/>
    </xf>
    <xf numFmtId="0" fontId="10" fillId="0" borderId="4" xfId="0" applyFont="1" applyBorder="1" applyAlignment="1">
      <alignment horizontal="left" wrapText="1"/>
    </xf>
    <xf numFmtId="0" fontId="10" fillId="0" borderId="1" xfId="0" applyFont="1" applyBorder="1" applyAlignment="1">
      <alignment horizontal="left" wrapText="1"/>
    </xf>
    <xf numFmtId="49" fontId="9" fillId="0" borderId="2" xfId="0" applyNumberFormat="1" applyFont="1" applyBorder="1" applyAlignment="1">
      <alignment horizontal="center" vertical="center"/>
    </xf>
    <xf numFmtId="0" fontId="8" fillId="0" borderId="5" xfId="0" applyFont="1" applyBorder="1" applyAlignment="1">
      <alignment horizontal="right" vertical="center" wrapText="1"/>
    </xf>
    <xf numFmtId="0" fontId="8" fillId="0" borderId="3" xfId="0" applyFont="1" applyBorder="1" applyAlignment="1">
      <alignment horizontal="right" vertical="center" wrapText="1"/>
    </xf>
    <xf numFmtId="0" fontId="0" fillId="0" borderId="3" xfId="0" applyBorder="1" applyAlignment="1">
      <alignment horizontal="right" vertical="center" wrapText="1"/>
    </xf>
    <xf numFmtId="0" fontId="0" fillId="0" borderId="4" xfId="0" applyBorder="1" applyAlignment="1">
      <alignment horizontal="right" vertical="center" wrapText="1"/>
    </xf>
    <xf numFmtId="0" fontId="8" fillId="6" borderId="5"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0" fillId="6" borderId="3" xfId="0" applyFill="1" applyBorder="1" applyAlignment="1">
      <alignment horizontal="center" vertical="center"/>
    </xf>
    <xf numFmtId="49" fontId="9" fillId="0" borderId="1" xfId="0" applyNumberFormat="1" applyFont="1" applyBorder="1" applyAlignment="1">
      <alignment horizontal="center" vertical="center"/>
    </xf>
    <xf numFmtId="0" fontId="2" fillId="6" borderId="5" xfId="0" applyFont="1" applyFill="1" applyBorder="1" applyAlignment="1">
      <alignment horizontal="left" vertical="center" wrapText="1"/>
    </xf>
    <xf numFmtId="0" fontId="2" fillId="6" borderId="3" xfId="0" applyFont="1" applyFill="1" applyBorder="1" applyAlignment="1">
      <alignment horizontal="left" vertical="center" wrapText="1"/>
    </xf>
    <xf numFmtId="0" fontId="0" fillId="6" borderId="3" xfId="0" applyFill="1" applyBorder="1" applyAlignment="1">
      <alignment vertical="center"/>
    </xf>
    <xf numFmtId="49" fontId="9" fillId="0" borderId="5" xfId="0" applyNumberFormat="1" applyFont="1" applyBorder="1" applyAlignment="1">
      <alignment horizontal="center" vertical="center"/>
    </xf>
    <xf numFmtId="49" fontId="9" fillId="0" borderId="4" xfId="0" applyNumberFormat="1" applyFont="1" applyBorder="1" applyAlignment="1">
      <alignment horizontal="center" vertical="center"/>
    </xf>
    <xf numFmtId="0" fontId="8" fillId="0" borderId="1" xfId="0" applyFont="1" applyBorder="1" applyAlignment="1">
      <alignment horizontal="left" wrapText="1"/>
    </xf>
    <xf numFmtId="0" fontId="0" fillId="0" borderId="1" xfId="0" applyBorder="1" applyAlignment="1">
      <alignment wrapText="1"/>
    </xf>
    <xf numFmtId="0" fontId="8" fillId="2" borderId="5" xfId="0" applyFont="1" applyFill="1" applyBorder="1" applyAlignment="1">
      <alignment horizontal="right" vertical="center" wrapText="1"/>
    </xf>
    <xf numFmtId="0" fontId="8" fillId="2" borderId="3" xfId="0" applyFont="1" applyFill="1" applyBorder="1" applyAlignment="1">
      <alignment horizontal="right" vertical="center" wrapText="1"/>
    </xf>
    <xf numFmtId="0" fontId="0" fillId="2" borderId="3" xfId="0" applyFill="1" applyBorder="1" applyAlignment="1">
      <alignment horizontal="right" vertical="center" wrapText="1"/>
    </xf>
    <xf numFmtId="0" fontId="0" fillId="2" borderId="4" xfId="0" applyFill="1" applyBorder="1" applyAlignment="1">
      <alignment vertical="center"/>
    </xf>
    <xf numFmtId="4" fontId="9" fillId="0" borderId="5" xfId="0" applyNumberFormat="1" applyFont="1" applyBorder="1" applyAlignment="1">
      <alignment horizontal="center"/>
    </xf>
    <xf numFmtId="0" fontId="0" fillId="0" borderId="4" xfId="0" applyBorder="1" applyAlignment="1">
      <alignment horizontal="center"/>
    </xf>
    <xf numFmtId="4" fontId="8" fillId="0" borderId="5" xfId="0" applyNumberFormat="1" applyFont="1" applyBorder="1" applyAlignment="1">
      <alignment horizontal="right" vertical="center" wrapText="1"/>
    </xf>
    <xf numFmtId="4" fontId="8" fillId="0" borderId="3" xfId="0" applyNumberFormat="1" applyFont="1" applyBorder="1" applyAlignment="1">
      <alignment horizontal="right" vertical="center" wrapText="1"/>
    </xf>
    <xf numFmtId="0" fontId="8" fillId="0" borderId="4" xfId="0" applyFont="1" applyBorder="1" applyAlignment="1">
      <alignment horizontal="right" vertical="center" wrapText="1"/>
    </xf>
    <xf numFmtId="4" fontId="9" fillId="2" borderId="5" xfId="0" applyNumberFormat="1" applyFont="1" applyFill="1" applyBorder="1" applyAlignment="1">
      <alignment horizontal="right" vertical="center" wrapText="1"/>
    </xf>
    <xf numFmtId="4" fontId="9" fillId="2" borderId="3" xfId="0" applyNumberFormat="1" applyFont="1" applyFill="1" applyBorder="1" applyAlignment="1">
      <alignment horizontal="right" vertical="center" wrapText="1"/>
    </xf>
    <xf numFmtId="0" fontId="0" fillId="2" borderId="4" xfId="0" applyFill="1" applyBorder="1" applyAlignment="1">
      <alignment horizontal="right" vertical="center" wrapText="1"/>
    </xf>
    <xf numFmtId="0" fontId="0" fillId="0" borderId="1" xfId="0" applyBorder="1" applyAlignment="1">
      <alignment vertical="center"/>
    </xf>
    <xf numFmtId="0" fontId="0" fillId="0" borderId="4" xfId="0" applyBorder="1" applyAlignment="1">
      <alignment horizontal="center" vertical="center"/>
    </xf>
    <xf numFmtId="0" fontId="0" fillId="0" borderId="4" xfId="0" applyBorder="1" applyAlignment="1">
      <alignment horizontal="center" vertical="center" wrapText="1"/>
    </xf>
    <xf numFmtId="0" fontId="8" fillId="2" borderId="1" xfId="0" applyFont="1" applyFill="1" applyBorder="1" applyAlignment="1">
      <alignment horizontal="center" vertical="center" wrapText="1"/>
    </xf>
    <xf numFmtId="2" fontId="9" fillId="2" borderId="5" xfId="0" applyNumberFormat="1" applyFont="1" applyFill="1" applyBorder="1" applyAlignment="1">
      <alignment horizontal="center" vertical="center" wrapText="1"/>
    </xf>
    <xf numFmtId="2" fontId="8" fillId="2" borderId="3" xfId="0" applyNumberFormat="1" applyFont="1" applyFill="1" applyBorder="1" applyAlignment="1">
      <alignment horizontal="center" vertical="center" wrapText="1"/>
    </xf>
    <xf numFmtId="0" fontId="0" fillId="2" borderId="4" xfId="0" applyFill="1" applyBorder="1" applyAlignment="1">
      <alignment vertical="center" wrapText="1"/>
    </xf>
    <xf numFmtId="0" fontId="10" fillId="0" borderId="2" xfId="0" applyFont="1" applyBorder="1" applyAlignment="1">
      <alignment horizontal="left" vertical="center" wrapText="1"/>
    </xf>
    <xf numFmtId="49" fontId="9" fillId="0" borderId="1" xfId="0" applyNumberFormat="1" applyFont="1" applyFill="1" applyBorder="1" applyAlignment="1">
      <alignment horizontal="center" vertical="center" wrapText="1"/>
    </xf>
    <xf numFmtId="0" fontId="8" fillId="6" borderId="5" xfId="0" applyFont="1" applyFill="1" applyBorder="1" applyAlignment="1">
      <alignment wrapText="1"/>
    </xf>
    <xf numFmtId="0" fontId="0" fillId="6" borderId="3" xfId="0" applyFill="1" applyBorder="1" applyAlignment="1"/>
    <xf numFmtId="0" fontId="0" fillId="6" borderId="4" xfId="0" applyFill="1" applyBorder="1" applyAlignment="1"/>
    <xf numFmtId="4" fontId="9" fillId="2" borderId="5" xfId="0" applyNumberFormat="1" applyFont="1" applyFill="1" applyBorder="1" applyAlignment="1">
      <alignment horizontal="center" vertical="center"/>
    </xf>
    <xf numFmtId="0" fontId="2" fillId="0" borderId="0" xfId="0" applyFont="1" applyAlignment="1">
      <alignment horizontal="justify" vertical="top"/>
    </xf>
    <xf numFmtId="0" fontId="3" fillId="0" borderId="1" xfId="0" applyFont="1" applyBorder="1" applyAlignment="1"/>
    <xf numFmtId="0" fontId="3" fillId="0" borderId="1" xfId="0" applyFont="1" applyBorder="1" applyAlignment="1">
      <alignment horizontal="center" wrapText="1"/>
    </xf>
    <xf numFmtId="0" fontId="3" fillId="0" borderId="14" xfId="0" applyFont="1" applyBorder="1" applyAlignment="1">
      <alignment horizontal="center"/>
    </xf>
    <xf numFmtId="0" fontId="3" fillId="0" borderId="0" xfId="0" applyFont="1" applyAlignment="1">
      <alignment horizontal="center"/>
    </xf>
    <xf numFmtId="0" fontId="3" fillId="0" borderId="5" xfId="0" applyFont="1" applyBorder="1" applyAlignment="1"/>
    <xf numFmtId="0" fontId="3" fillId="0" borderId="3" xfId="0" applyFont="1" applyBorder="1" applyAlignment="1"/>
    <xf numFmtId="0" fontId="3" fillId="0" borderId="4" xfId="0" applyFont="1" applyBorder="1" applyAlignment="1"/>
    <xf numFmtId="0" fontId="11" fillId="0" borderId="5"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center"/>
    </xf>
    <xf numFmtId="0" fontId="3" fillId="0" borderId="1" xfId="0" applyFont="1" applyBorder="1"/>
    <xf numFmtId="0" fontId="8" fillId="0" borderId="15" xfId="0" applyFont="1" applyBorder="1" applyAlignment="1">
      <alignment horizontal="left" vertical="center" wrapText="1"/>
    </xf>
    <xf numFmtId="0" fontId="0" fillId="0" borderId="16" xfId="0" applyBorder="1"/>
    <xf numFmtId="0" fontId="0" fillId="0" borderId="17" xfId="0" applyBorder="1"/>
    <xf numFmtId="0" fontId="0" fillId="0" borderId="13" xfId="0" applyBorder="1"/>
    <xf numFmtId="0" fontId="0" fillId="0" borderId="11" xfId="0" applyBorder="1"/>
    <xf numFmtId="0" fontId="0" fillId="0" borderId="12" xfId="0" applyBorder="1"/>
    <xf numFmtId="0" fontId="10" fillId="0" borderId="1" xfId="0" applyFont="1" applyBorder="1" applyAlignment="1">
      <alignment horizontal="left" vertical="center" wrapText="1"/>
    </xf>
    <xf numFmtId="0" fontId="10" fillId="0" borderId="1" xfId="0" applyFont="1" applyFill="1" applyBorder="1" applyAlignment="1">
      <alignment horizontal="left" vertical="center" wrapText="1"/>
    </xf>
    <xf numFmtId="4" fontId="9" fillId="0" borderId="1" xfId="0" applyNumberFormat="1" applyFont="1" applyFill="1" applyBorder="1" applyAlignment="1">
      <alignment horizontal="center" vertical="center"/>
    </xf>
    <xf numFmtId="0" fontId="0" fillId="0" borderId="3" xfId="0" applyBorder="1" applyAlignment="1">
      <alignment vertical="center" wrapText="1"/>
    </xf>
    <xf numFmtId="0" fontId="3" fillId="0" borderId="5" xfId="0" applyFont="1" applyBorder="1" applyAlignment="1">
      <alignment horizontal="left" wrapText="1"/>
    </xf>
    <xf numFmtId="0" fontId="3" fillId="0" borderId="4" xfId="0" applyFont="1" applyBorder="1" applyAlignment="1">
      <alignment horizontal="left" wrapText="1"/>
    </xf>
    <xf numFmtId="0" fontId="8" fillId="0" borderId="3" xfId="0" applyFont="1" applyBorder="1" applyAlignment="1">
      <alignment horizontal="justify" wrapText="1"/>
    </xf>
    <xf numFmtId="0" fontId="0" fillId="0" borderId="3" xfId="0" applyBorder="1" applyAlignment="1">
      <alignment horizontal="justify" wrapText="1"/>
    </xf>
    <xf numFmtId="0" fontId="10" fillId="0" borderId="13" xfId="0" applyFont="1" applyBorder="1" applyAlignment="1">
      <alignment horizontal="left" vertical="center" wrapText="1"/>
    </xf>
    <xf numFmtId="0" fontId="10" fillId="0" borderId="12" xfId="0" applyFont="1" applyBorder="1" applyAlignment="1">
      <alignment horizontal="left" vertical="center" wrapText="1"/>
    </xf>
    <xf numFmtId="0" fontId="8" fillId="0" borderId="1" xfId="0" applyFont="1" applyBorder="1" applyAlignment="1">
      <alignment horizontal="left"/>
    </xf>
    <xf numFmtId="0" fontId="8" fillId="0" borderId="1" xfId="0" applyFont="1" applyBorder="1" applyAlignment="1"/>
    <xf numFmtId="0" fontId="8" fillId="0" borderId="5" xfId="0" applyFont="1" applyBorder="1" applyAlignment="1">
      <alignment horizontal="justify" wrapText="1"/>
    </xf>
    <xf numFmtId="0" fontId="8" fillId="0" borderId="4" xfId="0" applyFont="1" applyBorder="1" applyAlignment="1">
      <alignment horizontal="justify" wrapText="1"/>
    </xf>
    <xf numFmtId="4" fontId="8" fillId="0" borderId="1" xfId="0" applyNumberFormat="1" applyFont="1" applyBorder="1" applyAlignment="1">
      <alignment horizontal="center"/>
    </xf>
    <xf numFmtId="0" fontId="8" fillId="0" borderId="1" xfId="0" applyFont="1" applyBorder="1" applyAlignment="1">
      <alignment horizontal="center"/>
    </xf>
    <xf numFmtId="0" fontId="8" fillId="0" borderId="0" xfId="0" applyFont="1" applyAlignment="1">
      <alignment horizontal="left"/>
    </xf>
    <xf numFmtId="0" fontId="8" fillId="0" borderId="11" xfId="0" applyFont="1" applyBorder="1" applyAlignment="1">
      <alignment horizontal="left"/>
    </xf>
    <xf numFmtId="0" fontId="8" fillId="0" borderId="0" xfId="0" applyFont="1" applyBorder="1" applyAlignment="1">
      <alignment horizontal="left"/>
    </xf>
    <xf numFmtId="0" fontId="8" fillId="2" borderId="4"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1" fillId="0" borderId="1" xfId="0" applyFont="1" applyFill="1" applyBorder="1" applyAlignment="1">
      <alignment horizontal="left" vertical="center" wrapText="1"/>
    </xf>
    <xf numFmtId="169" fontId="28" fillId="0" borderId="5" xfId="0" applyNumberFormat="1" applyFont="1" applyFill="1" applyBorder="1" applyAlignment="1">
      <alignment horizontal="center" vertical="center" wrapText="1"/>
    </xf>
    <xf numFmtId="169" fontId="29" fillId="0" borderId="3" xfId="0" applyNumberFormat="1" applyFont="1" applyBorder="1" applyAlignment="1">
      <alignment horizontal="center" vertical="center" wrapText="1"/>
    </xf>
    <xf numFmtId="169" fontId="29" fillId="0" borderId="4" xfId="0" applyNumberFormat="1" applyFont="1" applyBorder="1" applyAlignment="1">
      <alignment horizontal="center" vertical="center" wrapText="1"/>
    </xf>
    <xf numFmtId="0" fontId="2" fillId="0" borderId="0" xfId="0" applyFont="1" applyBorder="1" applyAlignment="1">
      <alignment horizontal="justify" vertical="top"/>
    </xf>
    <xf numFmtId="0" fontId="3" fillId="0" borderId="0" xfId="0" applyFont="1" applyBorder="1" applyAlignment="1"/>
    <xf numFmtId="0" fontId="3" fillId="0" borderId="0" xfId="0" applyFont="1" applyBorder="1" applyAlignment="1">
      <alignment horizontal="center" wrapText="1"/>
    </xf>
    <xf numFmtId="0" fontId="3" fillId="0" borderId="0" xfId="0" applyFont="1" applyBorder="1" applyAlignment="1">
      <alignment horizontal="center"/>
    </xf>
    <xf numFmtId="0" fontId="11" fillId="0" borderId="0" xfId="0" applyFont="1" applyBorder="1" applyAlignment="1">
      <alignment horizontal="center"/>
    </xf>
    <xf numFmtId="0" fontId="3" fillId="0" borderId="0" xfId="0" applyFont="1" applyBorder="1"/>
    <xf numFmtId="49" fontId="8" fillId="5" borderId="1" xfId="0" applyNumberFormat="1" applyFont="1" applyFill="1" applyBorder="1" applyAlignment="1">
      <alignment horizontal="left" vertical="center" wrapText="1"/>
    </xf>
    <xf numFmtId="0" fontId="0" fillId="5" borderId="1" xfId="0" applyFill="1" applyBorder="1" applyAlignment="1"/>
    <xf numFmtId="49" fontId="8" fillId="5" borderId="1" xfId="0" applyNumberFormat="1" applyFont="1" applyFill="1" applyBorder="1" applyAlignment="1">
      <alignment horizontal="right" vertical="center" wrapText="1"/>
    </xf>
    <xf numFmtId="0" fontId="0" fillId="5" borderId="1" xfId="0" applyFill="1" applyBorder="1" applyAlignment="1">
      <alignment horizontal="right" vertical="center" wrapText="1"/>
    </xf>
    <xf numFmtId="0" fontId="2" fillId="6" borderId="5" xfId="0" applyFont="1" applyFill="1" applyBorder="1" applyAlignment="1">
      <alignment horizontal="left" wrapText="1"/>
    </xf>
    <xf numFmtId="0" fontId="2" fillId="6" borderId="3" xfId="0" applyFont="1" applyFill="1" applyBorder="1" applyAlignment="1">
      <alignment horizontal="left" wrapText="1"/>
    </xf>
    <xf numFmtId="0" fontId="0" fillId="0" borderId="3" xfId="0" applyBorder="1" applyAlignment="1"/>
    <xf numFmtId="0" fontId="0" fillId="0" borderId="4" xfId="0" applyBorder="1" applyAlignment="1"/>
    <xf numFmtId="0" fontId="8" fillId="0" borderId="1" xfId="0" applyNumberFormat="1" applyFont="1" applyBorder="1" applyAlignment="1">
      <alignment horizontal="center" vertical="center"/>
    </xf>
    <xf numFmtId="2" fontId="9" fillId="0" borderId="1" xfId="0" applyNumberFormat="1" applyFont="1" applyBorder="1" applyAlignment="1">
      <alignment horizontal="center" vertical="center" wrapText="1"/>
    </xf>
    <xf numFmtId="2" fontId="8" fillId="0" borderId="1" xfId="0" applyNumberFormat="1" applyFont="1" applyBorder="1" applyAlignment="1">
      <alignment horizontal="center" vertical="center" wrapText="1"/>
    </xf>
    <xf numFmtId="0" fontId="0" fillId="0" borderId="1" xfId="0" applyBorder="1" applyAlignment="1">
      <alignment vertical="center" wrapText="1"/>
    </xf>
    <xf numFmtId="0" fontId="2" fillId="6" borderId="1" xfId="0" applyFont="1" applyFill="1" applyBorder="1" applyAlignment="1">
      <alignment horizontal="left" wrapText="1"/>
    </xf>
    <xf numFmtId="0" fontId="0" fillId="6" borderId="1" xfId="0" applyFill="1" applyBorder="1" applyAlignment="1"/>
    <xf numFmtId="0" fontId="0" fillId="0" borderId="1" xfId="0" applyBorder="1" applyAlignment="1"/>
    <xf numFmtId="49" fontId="10" fillId="5" borderId="1" xfId="0" applyNumberFormat="1" applyFont="1" applyFill="1" applyBorder="1" applyAlignment="1">
      <alignment horizontal="left" vertical="center" wrapText="1"/>
    </xf>
    <xf numFmtId="0" fontId="10" fillId="5" borderId="1" xfId="0" applyFont="1" applyFill="1" applyBorder="1" applyAlignment="1"/>
    <xf numFmtId="49" fontId="10" fillId="5" borderId="5" xfId="0" applyNumberFormat="1" applyFont="1" applyFill="1" applyBorder="1" applyAlignment="1">
      <alignment horizontal="center" vertical="center" wrapText="1"/>
    </xf>
    <xf numFmtId="0" fontId="10" fillId="5" borderId="3" xfId="0" applyFont="1" applyFill="1" applyBorder="1" applyAlignment="1">
      <alignment vertical="center" wrapText="1"/>
    </xf>
    <xf numFmtId="0" fontId="10" fillId="5" borderId="4" xfId="0" applyFont="1" applyFill="1" applyBorder="1" applyAlignment="1">
      <alignment vertical="center" wrapText="1"/>
    </xf>
    <xf numFmtId="0" fontId="12" fillId="0" borderId="0" xfId="0" applyFont="1" applyAlignment="1">
      <alignment horizontal="center" vertical="center" wrapText="1"/>
    </xf>
    <xf numFmtId="0" fontId="0" fillId="0" borderId="0" xfId="0" applyAlignment="1">
      <alignment vertical="center" wrapText="1"/>
    </xf>
    <xf numFmtId="0" fontId="8" fillId="0" borderId="0" xfId="0" applyFont="1" applyAlignment="1">
      <alignment horizontal="left" vertical="center" wrapText="1"/>
    </xf>
    <xf numFmtId="0" fontId="22" fillId="0" borderId="0" xfId="0" applyFont="1" applyBorder="1" applyAlignment="1">
      <alignment horizontal="center" vertical="center" wrapText="1"/>
    </xf>
    <xf numFmtId="0" fontId="24" fillId="0" borderId="0" xfId="0" applyFont="1" applyBorder="1" applyAlignment="1">
      <alignment vertical="center" wrapText="1"/>
    </xf>
    <xf numFmtId="0" fontId="10" fillId="6" borderId="3" xfId="0" applyFont="1" applyFill="1" applyBorder="1" applyAlignment="1">
      <alignment vertical="center" wrapText="1"/>
    </xf>
    <xf numFmtId="0" fontId="10" fillId="6" borderId="4" xfId="0" applyFont="1" applyFill="1" applyBorder="1" applyAlignment="1">
      <alignment vertical="center" wrapText="1"/>
    </xf>
    <xf numFmtId="4" fontId="8" fillId="0" borderId="1" xfId="0" applyNumberFormat="1" applyFont="1" applyBorder="1" applyAlignment="1">
      <alignment horizontal="right" vertical="center" wrapText="1"/>
    </xf>
    <xf numFmtId="0" fontId="8" fillId="0" borderId="1" xfId="0" applyFont="1" applyBorder="1" applyAlignment="1">
      <alignment horizontal="right" vertical="center" wrapText="1"/>
    </xf>
    <xf numFmtId="0" fontId="7" fillId="0" borderId="0" xfId="0" applyFont="1" applyBorder="1" applyAlignment="1">
      <alignment horizontal="center" vertical="center" wrapText="1"/>
    </xf>
    <xf numFmtId="0" fontId="0" fillId="0" borderId="0" xfId="0" applyBorder="1" applyAlignment="1">
      <alignment vertical="center" wrapText="1"/>
    </xf>
    <xf numFmtId="4" fontId="9" fillId="2" borderId="1" xfId="0" applyNumberFormat="1" applyFont="1" applyFill="1" applyBorder="1" applyAlignment="1">
      <alignment horizontal="right" vertical="center" wrapText="1"/>
    </xf>
    <xf numFmtId="0" fontId="8" fillId="2" borderId="1" xfId="0" applyFont="1" applyFill="1" applyBorder="1" applyAlignment="1">
      <alignment horizontal="right" vertical="center" wrapText="1"/>
    </xf>
    <xf numFmtId="0" fontId="10" fillId="0" borderId="5" xfId="0" applyFont="1" applyBorder="1" applyAlignment="1">
      <alignment horizontal="center" vertical="center" wrapText="1"/>
    </xf>
    <xf numFmtId="0" fontId="10" fillId="0" borderId="4" xfId="0" applyFont="1" applyBorder="1" applyAlignment="1">
      <alignment horizontal="center" vertical="center" wrapText="1"/>
    </xf>
    <xf numFmtId="2" fontId="8" fillId="0" borderId="5" xfId="0" applyNumberFormat="1" applyFont="1" applyBorder="1" applyAlignment="1">
      <alignment horizontal="right" vertical="center" wrapText="1"/>
    </xf>
    <xf numFmtId="0" fontId="10" fillId="0" borderId="1" xfId="0" applyFont="1" applyBorder="1" applyAlignment="1">
      <alignment horizontal="center"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9" fillId="2" borderId="5" xfId="0" applyFont="1" applyFill="1" applyBorder="1" applyAlignment="1">
      <alignment horizontal="right" vertical="center" wrapText="1"/>
    </xf>
    <xf numFmtId="0" fontId="8" fillId="2" borderId="4" xfId="0" applyFont="1" applyFill="1" applyBorder="1" applyAlignment="1">
      <alignment horizontal="right" vertical="center" wrapText="1"/>
    </xf>
    <xf numFmtId="0" fontId="12"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8" fillId="0" borderId="0" xfId="0" applyFont="1" applyAlignment="1">
      <alignment horizontal="center" vertical="center" wrapText="1"/>
    </xf>
    <xf numFmtId="169" fontId="14" fillId="0" borderId="5" xfId="0" applyNumberFormat="1" applyFont="1" applyFill="1" applyBorder="1" applyAlignment="1">
      <alignment horizontal="right" vertical="center"/>
    </xf>
    <xf numFmtId="0" fontId="12" fillId="0" borderId="4" xfId="0" applyFont="1" applyBorder="1" applyAlignment="1">
      <alignment horizontal="right" vertical="center"/>
    </xf>
    <xf numFmtId="0" fontId="8" fillId="0" borderId="1" xfId="0" applyFont="1" applyBorder="1" applyAlignment="1">
      <alignment horizontal="left" vertical="center" wrapText="1"/>
    </xf>
    <xf numFmtId="0" fontId="10" fillId="0" borderId="1" xfId="0" applyFont="1" applyBorder="1" applyAlignment="1">
      <alignment horizontal="center" vertical="center"/>
    </xf>
    <xf numFmtId="0" fontId="9" fillId="2" borderId="5" xfId="0" applyFont="1" applyFill="1" applyBorder="1" applyAlignment="1">
      <alignment horizontal="right" vertical="center"/>
    </xf>
    <xf numFmtId="0" fontId="8" fillId="2" borderId="3" xfId="0" applyFont="1" applyFill="1" applyBorder="1" applyAlignment="1">
      <alignment vertical="center"/>
    </xf>
    <xf numFmtId="0" fontId="8" fillId="2" borderId="4" xfId="0" applyFont="1" applyFill="1" applyBorder="1" applyAlignment="1">
      <alignment vertical="center"/>
    </xf>
    <xf numFmtId="0" fontId="10" fillId="0" borderId="1" xfId="0" applyFont="1" applyBorder="1" applyAlignment="1">
      <alignment vertical="center" wrapText="1"/>
    </xf>
    <xf numFmtId="0" fontId="10" fillId="0" borderId="1" xfId="0" applyFont="1" applyBorder="1" applyAlignment="1">
      <alignment vertical="center"/>
    </xf>
    <xf numFmtId="0" fontId="10" fillId="0" borderId="1" xfId="0" applyFont="1" applyBorder="1" applyAlignment="1">
      <alignment horizontal="left" vertical="center"/>
    </xf>
    <xf numFmtId="0" fontId="9" fillId="2" borderId="1" xfId="0" applyFont="1" applyFill="1" applyBorder="1" applyAlignment="1">
      <alignment horizontal="right" vertical="center" wrapText="1"/>
    </xf>
    <xf numFmtId="0" fontId="8" fillId="2" borderId="1" xfId="0" applyFont="1" applyFill="1" applyBorder="1" applyAlignment="1">
      <alignment vertical="center" wrapText="1"/>
    </xf>
    <xf numFmtId="0" fontId="8" fillId="0" borderId="5" xfId="0" applyFont="1" applyFill="1" applyBorder="1" applyAlignment="1">
      <alignment horizontal="center" vertical="center"/>
    </xf>
    <xf numFmtId="0" fontId="0" fillId="0" borderId="3" xfId="0" applyBorder="1" applyAlignment="1">
      <alignment horizontal="center" vertical="center"/>
    </xf>
    <xf numFmtId="0" fontId="2" fillId="0" borderId="5"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left" vertical="center" wrapText="1"/>
    </xf>
    <xf numFmtId="0" fontId="8" fillId="5" borderId="5" xfId="0" applyFont="1" applyFill="1" applyBorder="1" applyAlignment="1">
      <alignment horizontal="center" vertical="center" wrapText="1"/>
    </xf>
    <xf numFmtId="0" fontId="0" fillId="5" borderId="3" xfId="0" applyFill="1" applyBorder="1" applyAlignment="1">
      <alignment horizontal="center" vertical="center" wrapText="1"/>
    </xf>
    <xf numFmtId="0" fontId="0" fillId="5" borderId="4" xfId="0" applyFill="1" applyBorder="1" applyAlignment="1">
      <alignment horizontal="center" vertical="center" wrapText="1"/>
    </xf>
    <xf numFmtId="0" fontId="8" fillId="2" borderId="5" xfId="0" applyFont="1" applyFill="1" applyBorder="1" applyAlignment="1">
      <alignment horizontal="right" vertical="center"/>
    </xf>
    <xf numFmtId="0" fontId="8" fillId="2" borderId="3" xfId="0" applyFont="1" applyFill="1" applyBorder="1" applyAlignment="1">
      <alignment horizontal="right" vertical="center"/>
    </xf>
    <xf numFmtId="0" fontId="8" fillId="2" borderId="4" xfId="0" applyFont="1" applyFill="1" applyBorder="1" applyAlignment="1">
      <alignment horizontal="right" vertical="center"/>
    </xf>
    <xf numFmtId="0" fontId="12" fillId="2" borderId="5"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9" fillId="2" borderId="4" xfId="0" applyFont="1" applyFill="1" applyBorder="1" applyAlignment="1">
      <alignment horizontal="left" vertical="center"/>
    </xf>
    <xf numFmtId="0" fontId="8" fillId="0" borderId="5" xfId="0" applyFont="1" applyBorder="1" applyAlignment="1">
      <alignment vertical="center"/>
    </xf>
    <xf numFmtId="0" fontId="8" fillId="0" borderId="5" xfId="0" applyFont="1" applyBorder="1" applyAlignment="1">
      <alignment horizontal="left" vertical="center" wrapText="1"/>
    </xf>
    <xf numFmtId="0" fontId="8" fillId="0" borderId="3" xfId="0" applyFont="1" applyBorder="1" applyAlignment="1">
      <alignment horizontal="left" vertical="center" wrapText="1"/>
    </xf>
    <xf numFmtId="0" fontId="8" fillId="0" borderId="3" xfId="0" applyFont="1" applyBorder="1" applyAlignment="1">
      <alignment vertical="center"/>
    </xf>
    <xf numFmtId="0" fontId="10" fillId="5" borderId="1" xfId="0" applyFont="1" applyFill="1" applyBorder="1" applyAlignment="1">
      <alignment horizontal="left" vertical="center" wrapText="1"/>
    </xf>
    <xf numFmtId="0" fontId="0" fillId="2" borderId="3" xfId="0" applyFill="1" applyBorder="1" applyAlignment="1">
      <alignment horizontal="right" vertical="center"/>
    </xf>
    <xf numFmtId="0" fontId="0" fillId="2" borderId="4" xfId="0" applyFill="1" applyBorder="1" applyAlignment="1">
      <alignment horizontal="right" vertical="center"/>
    </xf>
    <xf numFmtId="0" fontId="8" fillId="0" borderId="1" xfId="0" applyFont="1" applyFill="1" applyBorder="1" applyAlignment="1">
      <alignment horizontal="left" vertical="center"/>
    </xf>
    <xf numFmtId="0" fontId="12" fillId="0" borderId="5" xfId="0" applyFont="1" applyFill="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2" fillId="2" borderId="5" xfId="0" applyFont="1" applyFill="1" applyBorder="1" applyAlignment="1">
      <alignment horizontal="left" vertical="center"/>
    </xf>
    <xf numFmtId="0" fontId="12" fillId="2" borderId="3" xfId="0" applyFont="1" applyFill="1" applyBorder="1" applyAlignment="1">
      <alignment horizontal="left" vertical="center"/>
    </xf>
    <xf numFmtId="0" fontId="12" fillId="2" borderId="4" xfId="0" applyFont="1" applyFill="1" applyBorder="1" applyAlignment="1">
      <alignment horizontal="left" vertical="center"/>
    </xf>
    <xf numFmtId="0" fontId="8" fillId="0" borderId="5"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2" borderId="1" xfId="0" applyFont="1" applyFill="1" applyBorder="1" applyAlignment="1">
      <alignment horizontal="right" vertical="center"/>
    </xf>
    <xf numFmtId="0" fontId="0" fillId="2" borderId="1" xfId="0" applyFill="1" applyBorder="1" applyAlignment="1">
      <alignment horizontal="right" vertical="center"/>
    </xf>
    <xf numFmtId="0" fontId="8" fillId="0" borderId="0" xfId="0" applyFont="1" applyAlignment="1">
      <alignment horizontal="justify" vertical="top"/>
    </xf>
    <xf numFmtId="2" fontId="9" fillId="0" borderId="1" xfId="0" applyNumberFormat="1" applyFont="1" applyBorder="1" applyAlignment="1">
      <alignment horizontal="center"/>
    </xf>
    <xf numFmtId="2" fontId="8" fillId="0" borderId="1" xfId="0" applyNumberFormat="1" applyFont="1" applyBorder="1" applyAlignment="1">
      <alignment horizontal="center"/>
    </xf>
    <xf numFmtId="4" fontId="9" fillId="2" borderId="5" xfId="0" applyNumberFormat="1" applyFont="1" applyFill="1" applyBorder="1" applyAlignment="1">
      <alignment horizontal="center" wrapText="1"/>
    </xf>
    <xf numFmtId="0" fontId="0" fillId="2" borderId="3" xfId="0" applyFill="1" applyBorder="1" applyAlignment="1">
      <alignment horizontal="center" wrapText="1"/>
    </xf>
    <xf numFmtId="0" fontId="0" fillId="2" borderId="4" xfId="0" applyFill="1" applyBorder="1" applyAlignment="1">
      <alignment wrapText="1"/>
    </xf>
    <xf numFmtId="0" fontId="8" fillId="6" borderId="5" xfId="0" applyFont="1" applyFill="1" applyBorder="1" applyAlignment="1"/>
    <xf numFmtId="0" fontId="8" fillId="0" borderId="16" xfId="0" applyFont="1" applyBorder="1" applyAlignment="1">
      <alignment horizontal="justify" vertical="center" wrapText="1"/>
    </xf>
    <xf numFmtId="4" fontId="8" fillId="0" borderId="5" xfId="0" applyNumberFormat="1" applyFont="1" applyBorder="1" applyAlignment="1">
      <alignment horizontal="center"/>
    </xf>
    <xf numFmtId="4" fontId="8" fillId="0" borderId="4" xfId="0" applyNumberFormat="1" applyFont="1" applyBorder="1" applyAlignment="1">
      <alignment horizontal="center"/>
    </xf>
    <xf numFmtId="0" fontId="8" fillId="2" borderId="2" xfId="0" applyFont="1" applyFill="1" applyBorder="1" applyAlignment="1">
      <alignment horizontal="center" vertical="center"/>
    </xf>
    <xf numFmtId="0" fontId="8" fillId="0" borderId="1" xfId="0" applyFont="1" applyBorder="1" applyAlignment="1">
      <alignment horizontal="justify" wrapText="1"/>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0" fillId="0" borderId="20" xfId="0"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0" fillId="0" borderId="23" xfId="0" applyBorder="1" applyAlignment="1">
      <alignment horizontal="center" vertical="center"/>
    </xf>
    <xf numFmtId="0" fontId="8" fillId="0" borderId="5" xfId="0" applyFont="1" applyBorder="1" applyAlignment="1">
      <alignment horizontal="left"/>
    </xf>
    <xf numFmtId="0" fontId="8" fillId="0" borderId="3" xfId="0" applyFont="1" applyBorder="1" applyAlignment="1">
      <alignment horizontal="left"/>
    </xf>
    <xf numFmtId="0" fontId="8" fillId="0" borderId="4" xfId="0" applyFont="1" applyBorder="1" applyAlignment="1">
      <alignment horizontal="left"/>
    </xf>
    <xf numFmtId="0" fontId="8" fillId="6" borderId="5" xfId="0" applyFont="1" applyFill="1" applyBorder="1" applyAlignment="1">
      <alignment horizontal="right" wrapText="1"/>
    </xf>
    <xf numFmtId="0" fontId="0" fillId="6" borderId="3" xfId="0" applyFill="1" applyBorder="1" applyAlignment="1">
      <alignment horizontal="right"/>
    </xf>
    <xf numFmtId="0" fontId="0" fillId="0" borderId="4" xfId="0" applyBorder="1" applyAlignment="1">
      <alignment horizontal="right"/>
    </xf>
    <xf numFmtId="0" fontId="9" fillId="6" borderId="5" xfId="0" applyFont="1" applyFill="1" applyBorder="1" applyAlignment="1">
      <alignment horizontal="right" wrapText="1"/>
    </xf>
    <xf numFmtId="0" fontId="8" fillId="6" borderId="3" xfId="0" applyFont="1" applyFill="1" applyBorder="1" applyAlignment="1">
      <alignment horizontal="right"/>
    </xf>
    <xf numFmtId="0" fontId="8" fillId="0" borderId="5" xfId="0" applyFont="1" applyBorder="1" applyAlignment="1">
      <alignment horizontal="center" vertical="center" wrapText="1"/>
    </xf>
    <xf numFmtId="4" fontId="9" fillId="0" borderId="3" xfId="0" applyNumberFormat="1" applyFont="1" applyBorder="1" applyAlignment="1">
      <alignment horizontal="right" vertical="center" wrapText="1"/>
    </xf>
    <xf numFmtId="0" fontId="10" fillId="0" borderId="0" xfId="0" applyFont="1" applyBorder="1" applyAlignment="1">
      <alignment horizontal="center"/>
    </xf>
    <xf numFmtId="0" fontId="2" fillId="2" borderId="5"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8" fillId="6" borderId="5" xfId="0" applyFont="1" applyFill="1" applyBorder="1" applyAlignment="1">
      <alignment horizontal="left" wrapText="1"/>
    </xf>
    <xf numFmtId="0" fontId="10" fillId="2" borderId="1" xfId="0" applyFont="1" applyFill="1" applyBorder="1" applyAlignment="1">
      <alignment horizontal="center" vertical="center" wrapText="1"/>
    </xf>
    <xf numFmtId="4" fontId="9" fillId="0" borderId="5" xfId="0" applyNumberFormat="1" applyFont="1" applyBorder="1" applyAlignment="1">
      <alignment horizontal="right" vertical="center" wrapText="1"/>
    </xf>
    <xf numFmtId="0" fontId="10" fillId="0" borderId="0" xfId="0" applyFont="1" applyBorder="1" applyAlignment="1"/>
    <xf numFmtId="0" fontId="9" fillId="0" borderId="5" xfId="0" applyFont="1" applyBorder="1" applyAlignment="1">
      <alignment horizontal="center"/>
    </xf>
    <xf numFmtId="0" fontId="8" fillId="0" borderId="3" xfId="0" applyFont="1" applyBorder="1" applyAlignment="1">
      <alignment horizontal="center"/>
    </xf>
    <xf numFmtId="10" fontId="9" fillId="0" borderId="1" xfId="0" applyNumberFormat="1" applyFont="1" applyBorder="1" applyAlignment="1">
      <alignment horizontal="center"/>
    </xf>
    <xf numFmtId="0" fontId="9" fillId="0" borderId="2" xfId="0" applyNumberFormat="1" applyFont="1" applyBorder="1" applyAlignment="1">
      <alignment horizontal="center" vertical="center"/>
    </xf>
    <xf numFmtId="0" fontId="2" fillId="6" borderId="5" xfId="0" applyFont="1" applyFill="1" applyBorder="1" applyAlignment="1">
      <alignment horizontal="left"/>
    </xf>
    <xf numFmtId="0" fontId="2" fillId="6" borderId="3" xfId="0" applyFont="1" applyFill="1" applyBorder="1" applyAlignment="1">
      <alignment horizontal="left"/>
    </xf>
    <xf numFmtId="2" fontId="9" fillId="0" borderId="5" xfId="0" applyNumberFormat="1" applyFont="1" applyBorder="1" applyAlignment="1">
      <alignment horizontal="center" vertical="center"/>
    </xf>
    <xf numFmtId="2" fontId="8" fillId="0" borderId="3" xfId="0" applyNumberFormat="1" applyFont="1" applyBorder="1" applyAlignment="1">
      <alignment horizontal="center" vertical="center"/>
    </xf>
    <xf numFmtId="0" fontId="8" fillId="6" borderId="5" xfId="0" applyFont="1" applyFill="1" applyBorder="1" applyAlignment="1">
      <alignment horizontal="center"/>
    </xf>
    <xf numFmtId="0" fontId="8" fillId="6" borderId="3" xfId="0" applyFont="1" applyFill="1" applyBorder="1" applyAlignment="1">
      <alignment horizontal="center"/>
    </xf>
    <xf numFmtId="0" fontId="10" fillId="0" borderId="13" xfId="0" applyFont="1" applyBorder="1" applyAlignment="1">
      <alignment horizontal="left" wrapText="1"/>
    </xf>
    <xf numFmtId="0" fontId="10" fillId="0" borderId="12" xfId="0" applyFont="1" applyBorder="1" applyAlignment="1">
      <alignment horizontal="left" wrapText="1"/>
    </xf>
    <xf numFmtId="0" fontId="10" fillId="0" borderId="5" xfId="0" applyFont="1" applyBorder="1" applyAlignment="1"/>
    <xf numFmtId="0" fontId="10" fillId="0" borderId="4" xfId="0" applyFont="1" applyBorder="1" applyAlignment="1"/>
    <xf numFmtId="0" fontId="9" fillId="0" borderId="5" xfId="0" applyFont="1" applyBorder="1" applyAlignment="1">
      <alignment horizontal="center" wrapText="1"/>
    </xf>
    <xf numFmtId="0" fontId="8" fillId="0" borderId="3" xfId="0" applyFont="1" applyBorder="1" applyAlignment="1">
      <alignment horizontal="center" wrapText="1"/>
    </xf>
    <xf numFmtId="170" fontId="9" fillId="0" borderId="5" xfId="0" applyNumberFormat="1" applyFont="1" applyBorder="1" applyAlignment="1">
      <alignment horizontal="center"/>
    </xf>
    <xf numFmtId="170" fontId="9" fillId="0" borderId="4" xfId="0" applyNumberFormat="1" applyFont="1" applyBorder="1" applyAlignment="1">
      <alignment horizontal="center"/>
    </xf>
    <xf numFmtId="0" fontId="10" fillId="2" borderId="5" xfId="0" applyFont="1" applyFill="1" applyBorder="1" applyAlignment="1">
      <alignment horizontal="center" vertical="center" wrapText="1"/>
    </xf>
    <xf numFmtId="0" fontId="0" fillId="2" borderId="1" xfId="0" applyFill="1" applyBorder="1" applyAlignment="1">
      <alignment horizontal="right" vertical="center" wrapText="1"/>
    </xf>
    <xf numFmtId="0" fontId="8" fillId="2" borderId="15" xfId="0" applyFont="1" applyFill="1" applyBorder="1" applyAlignment="1">
      <alignment horizontal="center" vertical="center" wrapText="1"/>
    </xf>
    <xf numFmtId="0" fontId="0" fillId="0" borderId="17" xfId="0" applyBorder="1" applyAlignment="1">
      <alignment horizontal="center"/>
    </xf>
    <xf numFmtId="0" fontId="0" fillId="0" borderId="13" xfId="0" applyBorder="1" applyAlignment="1">
      <alignment horizontal="center"/>
    </xf>
    <xf numFmtId="0" fontId="0" fillId="0" borderId="12" xfId="0" applyBorder="1" applyAlignment="1">
      <alignment horizontal="center"/>
    </xf>
    <xf numFmtId="0" fontId="13" fillId="2" borderId="0" xfId="0" applyFont="1" applyFill="1" applyBorder="1" applyAlignment="1">
      <alignment horizontal="center"/>
    </xf>
    <xf numFmtId="0" fontId="18" fillId="2" borderId="0" xfId="0" applyFont="1" applyFill="1" applyBorder="1" applyAlignment="1"/>
    <xf numFmtId="0" fontId="8" fillId="0" borderId="11" xfId="0" applyFont="1" applyBorder="1" applyAlignment="1">
      <alignment horizontal="justify" vertical="justify" wrapText="1"/>
    </xf>
    <xf numFmtId="0" fontId="0" fillId="0" borderId="11" xfId="0" applyBorder="1" applyAlignment="1">
      <alignment horizontal="justify" vertical="justify" wrapText="1"/>
    </xf>
    <xf numFmtId="0" fontId="9" fillId="0" borderId="1" xfId="0" applyNumberFormat="1" applyFont="1" applyFill="1" applyBorder="1" applyAlignment="1">
      <alignment horizontal="center" vertical="center"/>
    </xf>
    <xf numFmtId="0" fontId="9" fillId="0" borderId="5"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49" fontId="8" fillId="2" borderId="5" xfId="0" applyNumberFormat="1" applyFont="1" applyFill="1" applyBorder="1" applyAlignment="1">
      <alignment horizontal="right" vertical="center" wrapText="1"/>
    </xf>
    <xf numFmtId="0" fontId="8" fillId="0" borderId="5" xfId="0" applyFont="1" applyFill="1" applyBorder="1" applyAlignment="1">
      <alignment vertical="center" wrapText="1"/>
    </xf>
    <xf numFmtId="0" fontId="10" fillId="6" borderId="1" xfId="0" applyFont="1" applyFill="1" applyBorder="1" applyAlignment="1">
      <alignment horizontal="center" vertical="center"/>
    </xf>
    <xf numFmtId="0" fontId="10" fillId="6" borderId="1" xfId="0" applyFont="1" applyFill="1" applyBorder="1" applyAlignment="1">
      <alignment vertical="center"/>
    </xf>
    <xf numFmtId="14" fontId="14" fillId="0" borderId="5" xfId="0" applyNumberFormat="1" applyFont="1" applyFill="1" applyBorder="1" applyAlignment="1">
      <alignment horizontal="right" vertical="center" wrapText="1"/>
    </xf>
    <xf numFmtId="0" fontId="12" fillId="0" borderId="4" xfId="0" applyFont="1" applyBorder="1" applyAlignment="1">
      <alignment horizontal="right" vertical="center" wrapText="1"/>
    </xf>
    <xf numFmtId="0" fontId="8" fillId="0" borderId="4" xfId="0" applyFont="1" applyBorder="1" applyAlignment="1">
      <alignment vertical="center"/>
    </xf>
    <xf numFmtId="0" fontId="8" fillId="0" borderId="4" xfId="0" applyFont="1" applyBorder="1" applyAlignment="1">
      <alignment horizontal="left" vertical="center"/>
    </xf>
    <xf numFmtId="0" fontId="8" fillId="0" borderId="3" xfId="0" applyFont="1" applyBorder="1" applyAlignment="1">
      <alignment horizontal="left" vertical="center"/>
    </xf>
    <xf numFmtId="0" fontId="12" fillId="2"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 xfId="0" applyFont="1" applyBorder="1" applyAlignment="1">
      <alignment horizontal="left" vertical="center" wrapText="1"/>
    </xf>
    <xf numFmtId="0" fontId="8" fillId="0" borderId="4" xfId="0" applyFont="1" applyBorder="1" applyAlignment="1">
      <alignment horizontal="left" vertical="center" wrapText="1"/>
    </xf>
    <xf numFmtId="0" fontId="12" fillId="0" borderId="5" xfId="0" applyFont="1" applyFill="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2" fillId="0" borderId="5"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Border="1" applyAlignment="1">
      <alignment vertical="center"/>
    </xf>
    <xf numFmtId="0" fontId="19" fillId="2" borderId="4" xfId="0" applyFont="1" applyFill="1" applyBorder="1" applyAlignment="1">
      <alignment horizontal="left" vertical="center" wrapText="1"/>
    </xf>
    <xf numFmtId="0" fontId="0" fillId="0" borderId="3" xfId="0" applyBorder="1" applyAlignment="1">
      <alignment horizontal="right" vertical="center"/>
    </xf>
    <xf numFmtId="0" fontId="0" fillId="0" borderId="4" xfId="0" applyBorder="1" applyAlignment="1">
      <alignment horizontal="right" vertical="center"/>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21" fillId="4" borderId="5" xfId="0" applyFont="1" applyFill="1" applyBorder="1" applyAlignment="1">
      <alignment horizontal="center" vertical="center"/>
    </xf>
    <xf numFmtId="0" fontId="0" fillId="4" borderId="3" xfId="0" applyFill="1" applyBorder="1" applyAlignment="1">
      <alignment horizontal="center" vertical="center"/>
    </xf>
    <xf numFmtId="0" fontId="0" fillId="4" borderId="4" xfId="0" applyFill="1" applyBorder="1" applyAlignment="1">
      <alignment horizontal="center" vertical="center"/>
    </xf>
    <xf numFmtId="0" fontId="8" fillId="0" borderId="5" xfId="0" applyFont="1" applyFill="1" applyBorder="1" applyAlignment="1">
      <alignment horizontal="justify" vertical="center" wrapText="1"/>
    </xf>
    <xf numFmtId="0" fontId="8" fillId="0" borderId="3" xfId="0" applyFont="1" applyBorder="1" applyAlignment="1">
      <alignment horizontal="justify" vertical="center" wrapText="1"/>
    </xf>
    <xf numFmtId="0" fontId="8" fillId="0" borderId="4" xfId="0" applyFont="1" applyBorder="1" applyAlignment="1">
      <alignment horizontal="justify" vertical="center" wrapText="1"/>
    </xf>
    <xf numFmtId="0" fontId="8" fillId="4" borderId="5" xfId="0" applyFont="1" applyFill="1" applyBorder="1" applyAlignment="1">
      <alignment horizontal="center" vertical="center"/>
    </xf>
    <xf numFmtId="0" fontId="8" fillId="0" borderId="1" xfId="0" applyFont="1" applyFill="1" applyBorder="1" applyAlignment="1">
      <alignment horizontal="left" vertical="center" wrapText="1"/>
    </xf>
    <xf numFmtId="0" fontId="0" fillId="2" borderId="1" xfId="0" applyFill="1" applyBorder="1" applyAlignment="1">
      <alignment vertical="center"/>
    </xf>
    <xf numFmtId="0" fontId="0" fillId="2" borderId="3" xfId="0" applyFill="1" applyBorder="1" applyAlignment="1">
      <alignment vertical="center"/>
    </xf>
    <xf numFmtId="0" fontId="19" fillId="0" borderId="4" xfId="0" applyFont="1" applyBorder="1" applyAlignment="1">
      <alignment horizontal="left" vertical="center"/>
    </xf>
    <xf numFmtId="0" fontId="8" fillId="0" borderId="5" xfId="0" applyFont="1" applyBorder="1" applyAlignment="1">
      <alignment horizontal="left" vertical="center"/>
    </xf>
    <xf numFmtId="0" fontId="8" fillId="0" borderId="3" xfId="0" applyFont="1" applyBorder="1" applyAlignment="1">
      <alignment vertical="center" wrapText="1"/>
    </xf>
    <xf numFmtId="0" fontId="8" fillId="0" borderId="4" xfId="0" applyFont="1" applyBorder="1" applyAlignment="1">
      <alignment vertical="center" wrapText="1"/>
    </xf>
    <xf numFmtId="0" fontId="0" fillId="4" borderId="3" xfId="0" applyFill="1" applyBorder="1" applyAlignment="1">
      <alignment vertical="center"/>
    </xf>
    <xf numFmtId="0" fontId="0" fillId="4" borderId="4" xfId="0" applyFill="1" applyBorder="1" applyAlignment="1">
      <alignment vertical="center"/>
    </xf>
    <xf numFmtId="0" fontId="8" fillId="0" borderId="5" xfId="0" applyFont="1" applyFill="1" applyBorder="1" applyAlignment="1">
      <alignment horizontal="center" vertical="center" wrapText="1"/>
    </xf>
    <xf numFmtId="0" fontId="0" fillId="0" borderId="3" xfId="0" applyBorder="1" applyAlignment="1">
      <alignment horizontal="center" vertical="center" wrapText="1"/>
    </xf>
    <xf numFmtId="0" fontId="8" fillId="4" borderId="5" xfId="0" applyFont="1" applyFill="1" applyBorder="1" applyAlignment="1">
      <alignment horizontal="center" vertical="center" wrapText="1"/>
    </xf>
    <xf numFmtId="0" fontId="0" fillId="4" borderId="3" xfId="0" applyFill="1" applyBorder="1" applyAlignment="1">
      <alignment vertical="center" wrapText="1"/>
    </xf>
    <xf numFmtId="0" fontId="0" fillId="4" borderId="4" xfId="0" applyFill="1" applyBorder="1" applyAlignment="1">
      <alignment vertical="center" wrapText="1"/>
    </xf>
    <xf numFmtId="0" fontId="9" fillId="0" borderId="5" xfId="0" applyFont="1" applyFill="1" applyBorder="1" applyAlignment="1">
      <alignment horizontal="right" vertical="center" wrapText="1"/>
    </xf>
    <xf numFmtId="0" fontId="8" fillId="0" borderId="3" xfId="0" applyFont="1" applyFill="1" applyBorder="1" applyAlignment="1">
      <alignment vertical="center"/>
    </xf>
    <xf numFmtId="0" fontId="8" fillId="0" borderId="4" xfId="0" applyFont="1" applyFill="1" applyBorder="1" applyAlignment="1">
      <alignment vertical="center"/>
    </xf>
    <xf numFmtId="0" fontId="8" fillId="2" borderId="5" xfId="0" applyFont="1" applyFill="1" applyBorder="1" applyAlignment="1">
      <alignment horizontal="center" vertical="center"/>
    </xf>
    <xf numFmtId="0" fontId="10" fillId="0" borderId="5" xfId="0" applyFont="1" applyFill="1" applyBorder="1" applyAlignment="1">
      <alignment horizontal="left" vertical="center"/>
    </xf>
    <xf numFmtId="0" fontId="10" fillId="0" borderId="3" xfId="0" applyFont="1" applyFill="1" applyBorder="1" applyAlignment="1">
      <alignment horizontal="left" vertical="center"/>
    </xf>
    <xf numFmtId="0" fontId="8" fillId="0" borderId="5" xfId="0" applyFont="1" applyBorder="1" applyAlignment="1">
      <alignment horizontal="justify" vertical="center" wrapText="1"/>
    </xf>
    <xf numFmtId="169" fontId="12" fillId="0" borderId="4" xfId="0" applyNumberFormat="1" applyFont="1" applyBorder="1" applyAlignment="1">
      <alignment horizontal="right" vertical="center"/>
    </xf>
    <xf numFmtId="0" fontId="8" fillId="6" borderId="1" xfId="0" applyFont="1" applyFill="1" applyBorder="1" applyAlignment="1">
      <alignment horizontal="center" vertical="center"/>
    </xf>
    <xf numFmtId="0" fontId="0" fillId="6" borderId="1" xfId="0" applyFill="1" applyBorder="1" applyAlignment="1">
      <alignment horizontal="center" vertical="center"/>
    </xf>
    <xf numFmtId="0" fontId="0" fillId="0" borderId="3" xfId="0" applyBorder="1" applyAlignment="1">
      <alignment horizontal="center"/>
    </xf>
    <xf numFmtId="0" fontId="10" fillId="0" borderId="5" xfId="0" applyFont="1" applyFill="1" applyBorder="1" applyAlignment="1">
      <alignment horizontal="justify" vertical="center" wrapText="1"/>
    </xf>
    <xf numFmtId="0" fontId="10" fillId="0" borderId="3" xfId="0" applyFont="1" applyFill="1" applyBorder="1" applyAlignment="1">
      <alignment horizontal="justify" vertical="center" wrapText="1"/>
    </xf>
    <xf numFmtId="0" fontId="10" fillId="0" borderId="4" xfId="0" applyFont="1" applyFill="1" applyBorder="1" applyAlignment="1">
      <alignment horizontal="justify" vertical="center" wrapText="1"/>
    </xf>
    <xf numFmtId="0" fontId="10" fillId="6" borderId="5" xfId="0" applyFont="1" applyFill="1" applyBorder="1" applyAlignment="1">
      <alignment horizontal="center" vertical="center" wrapText="1"/>
    </xf>
    <xf numFmtId="4" fontId="9" fillId="0" borderId="5" xfId="3" applyNumberFormat="1" applyFont="1" applyFill="1" applyBorder="1" applyAlignment="1">
      <alignment horizontal="right" vertical="center"/>
    </xf>
    <xf numFmtId="4" fontId="8" fillId="0" borderId="4" xfId="0" applyNumberFormat="1" applyFont="1" applyFill="1" applyBorder="1" applyAlignment="1">
      <alignment horizontal="right" vertical="center"/>
    </xf>
    <xf numFmtId="4" fontId="10" fillId="0" borderId="3" xfId="0" applyNumberFormat="1" applyFont="1" applyFill="1" applyBorder="1" applyAlignment="1">
      <alignment horizontal="right" vertical="center" wrapText="1"/>
    </xf>
    <xf numFmtId="0" fontId="10" fillId="0" borderId="4" xfId="0" applyFont="1" applyFill="1" applyBorder="1" applyAlignment="1">
      <alignment horizontal="right" vertical="center" wrapText="1"/>
    </xf>
    <xf numFmtId="0" fontId="9" fillId="2" borderId="13" xfId="0" applyFont="1" applyFill="1" applyBorder="1" applyAlignment="1">
      <alignment horizontal="right" vertical="center" wrapText="1"/>
    </xf>
    <xf numFmtId="0" fontId="8" fillId="2" borderId="11" xfId="0" applyFont="1" applyFill="1" applyBorder="1" applyAlignment="1">
      <alignment vertical="center"/>
    </xf>
    <xf numFmtId="0" fontId="8" fillId="2" borderId="12" xfId="0" applyFont="1" applyFill="1" applyBorder="1" applyAlignment="1">
      <alignment vertical="center"/>
    </xf>
    <xf numFmtId="4" fontId="11" fillId="2" borderId="5" xfId="0" applyNumberFormat="1" applyFont="1" applyFill="1" applyBorder="1" applyAlignment="1">
      <alignment horizontal="right" vertical="center" wrapText="1"/>
    </xf>
    <xf numFmtId="0" fontId="10" fillId="2" borderId="4" xfId="0" applyFont="1" applyFill="1" applyBorder="1" applyAlignment="1">
      <alignment horizontal="right" vertical="center" wrapText="1"/>
    </xf>
    <xf numFmtId="4" fontId="10" fillId="0" borderId="1" xfId="0" applyNumberFormat="1" applyFont="1" applyBorder="1" applyAlignment="1">
      <alignment horizontal="right" vertical="center" wrapText="1"/>
    </xf>
    <xf numFmtId="0" fontId="10" fillId="0" borderId="1" xfId="0" applyFont="1" applyBorder="1" applyAlignment="1">
      <alignment horizontal="right" vertical="center" wrapText="1"/>
    </xf>
    <xf numFmtId="0" fontId="10" fillId="6" borderId="5" xfId="0" applyFont="1" applyFill="1" applyBorder="1" applyAlignment="1">
      <alignment horizontal="center" vertical="center"/>
    </xf>
    <xf numFmtId="0" fontId="10" fillId="6" borderId="3" xfId="0" applyFont="1" applyFill="1" applyBorder="1" applyAlignment="1">
      <alignment vertical="center"/>
    </xf>
    <xf numFmtId="0" fontId="10" fillId="6" borderId="4" xfId="0" applyFont="1" applyFill="1" applyBorder="1" applyAlignment="1">
      <alignment vertical="center"/>
    </xf>
    <xf numFmtId="0" fontId="0" fillId="4" borderId="3" xfId="0" applyFill="1" applyBorder="1" applyAlignment="1">
      <alignment horizontal="center" vertical="center" wrapText="1"/>
    </xf>
    <xf numFmtId="0" fontId="0" fillId="4" borderId="4" xfId="0" applyFill="1" applyBorder="1" applyAlignment="1">
      <alignment horizontal="center" vertical="center" wrapText="1"/>
    </xf>
    <xf numFmtId="0" fontId="8" fillId="4" borderId="1" xfId="0" applyFont="1" applyFill="1" applyBorder="1" applyAlignment="1">
      <alignment horizontal="right" vertical="center"/>
    </xf>
    <xf numFmtId="0" fontId="0" fillId="4" borderId="1" xfId="0" applyFill="1" applyBorder="1" applyAlignment="1">
      <alignment horizontal="right" vertical="center"/>
    </xf>
    <xf numFmtId="0" fontId="9" fillId="0" borderId="14" xfId="0" applyFont="1" applyFill="1" applyBorder="1" applyAlignment="1">
      <alignment horizontal="center" vertical="center"/>
    </xf>
    <xf numFmtId="0" fontId="9" fillId="0" borderId="0" xfId="0" applyFont="1" applyBorder="1" applyAlignment="1">
      <alignment horizontal="center" vertical="center"/>
    </xf>
    <xf numFmtId="0" fontId="9" fillId="0" borderId="14" xfId="0" applyFont="1" applyBorder="1" applyAlignment="1">
      <alignment vertical="center"/>
    </xf>
    <xf numFmtId="0" fontId="9" fillId="0" borderId="0" xfId="0" applyFont="1" applyAlignment="1">
      <alignment vertical="center"/>
    </xf>
    <xf numFmtId="0" fontId="9" fillId="0" borderId="13" xfId="0" applyFont="1" applyBorder="1" applyAlignment="1">
      <alignment vertical="center"/>
    </xf>
    <xf numFmtId="0" fontId="9" fillId="0" borderId="11" xfId="0" applyFont="1" applyBorder="1" applyAlignment="1">
      <alignment vertical="center"/>
    </xf>
    <xf numFmtId="0" fontId="11" fillId="4" borderId="5" xfId="0" applyFont="1" applyFill="1" applyBorder="1" applyAlignment="1">
      <alignment vertical="center"/>
    </xf>
    <xf numFmtId="0" fontId="0" fillId="4" borderId="3" xfId="0" applyFill="1" applyBorder="1" applyAlignment="1"/>
    <xf numFmtId="0" fontId="6" fillId="0" borderId="0" xfId="0" applyFont="1" applyFill="1" applyBorder="1" applyAlignment="1">
      <alignment horizontal="left" vertical="center"/>
    </xf>
    <xf numFmtId="0" fontId="6" fillId="0" borderId="0" xfId="0" applyFont="1" applyBorder="1" applyAlignment="1">
      <alignment horizontal="left"/>
    </xf>
    <xf numFmtId="0" fontId="9" fillId="0" borderId="1" xfId="0" applyFont="1" applyFill="1" applyBorder="1" applyAlignment="1">
      <alignment horizontal="left" vertical="center" wrapText="1"/>
    </xf>
    <xf numFmtId="0" fontId="9" fillId="0" borderId="1" xfId="0" applyFont="1" applyBorder="1" applyAlignment="1">
      <alignment horizontal="left" vertical="center" wrapText="1"/>
    </xf>
    <xf numFmtId="0" fontId="8" fillId="0" borderId="1" xfId="0" applyFont="1" applyFill="1" applyBorder="1" applyAlignment="1">
      <alignment horizontal="center" vertical="center"/>
    </xf>
    <xf numFmtId="0" fontId="0" fillId="0" borderId="1" xfId="0" applyBorder="1" applyAlignment="1">
      <alignment horizontal="center" vertical="center"/>
    </xf>
    <xf numFmtId="0" fontId="13" fillId="0" borderId="1" xfId="0" applyFont="1" applyBorder="1" applyAlignment="1">
      <alignment horizontal="left" vertical="center"/>
    </xf>
    <xf numFmtId="0" fontId="10" fillId="0" borderId="4" xfId="0" applyFont="1" applyFill="1" applyBorder="1" applyAlignment="1">
      <alignment horizontal="left" vertical="center"/>
    </xf>
    <xf numFmtId="0" fontId="8" fillId="4" borderId="5" xfId="0" applyFont="1" applyFill="1" applyBorder="1" applyAlignment="1">
      <alignment horizontal="left" wrapText="1"/>
    </xf>
    <xf numFmtId="0" fontId="0" fillId="4" borderId="3" xfId="0" applyFill="1" applyBorder="1" applyAlignment="1">
      <alignment horizontal="left" wrapText="1"/>
    </xf>
    <xf numFmtId="0" fontId="0" fillId="4" borderId="4" xfId="0" applyFill="1" applyBorder="1" applyAlignment="1">
      <alignment horizontal="left" wrapText="1"/>
    </xf>
    <xf numFmtId="0" fontId="8" fillId="0" borderId="1" xfId="0" applyFont="1" applyBorder="1" applyAlignment="1">
      <alignment vertical="center" wrapText="1"/>
    </xf>
    <xf numFmtId="0" fontId="19" fillId="2" borderId="3" xfId="0" applyFont="1" applyFill="1" applyBorder="1" applyAlignment="1">
      <alignment horizontal="left" vertical="center" wrapText="1"/>
    </xf>
    <xf numFmtId="14" fontId="9" fillId="0" borderId="5" xfId="0" applyNumberFormat="1" applyFont="1" applyBorder="1" applyAlignment="1">
      <alignment horizontal="center" vertical="center" wrapText="1"/>
    </xf>
    <xf numFmtId="0" fontId="8" fillId="2" borderId="1"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4" fontId="11" fillId="2" borderId="3" xfId="0" applyNumberFormat="1" applyFont="1" applyFill="1" applyBorder="1" applyAlignment="1">
      <alignment horizontal="right" vertical="center" wrapText="1"/>
    </xf>
    <xf numFmtId="0" fontId="9" fillId="2" borderId="3" xfId="0" applyFont="1" applyFill="1" applyBorder="1" applyAlignment="1">
      <alignment horizontal="right" vertical="center"/>
    </xf>
    <xf numFmtId="0" fontId="9" fillId="2" borderId="4" xfId="0" applyFont="1" applyFill="1" applyBorder="1" applyAlignment="1">
      <alignment horizontal="right" vertical="center"/>
    </xf>
    <xf numFmtId="0" fontId="6" fillId="0" borderId="0" xfId="0" applyFont="1" applyFill="1" applyBorder="1" applyAlignment="1">
      <alignment horizontal="center" vertical="center"/>
    </xf>
    <xf numFmtId="0" fontId="6" fillId="0" borderId="0" xfId="0" applyFont="1" applyBorder="1" applyAlignment="1">
      <alignment horizontal="center"/>
    </xf>
    <xf numFmtId="0" fontId="6" fillId="0" borderId="11" xfId="0" applyFont="1" applyFill="1" applyBorder="1" applyAlignment="1">
      <alignment horizontal="left" vertical="center"/>
    </xf>
    <xf numFmtId="0" fontId="6" fillId="0" borderId="11" xfId="0" applyFont="1" applyBorder="1" applyAlignment="1">
      <alignment horizontal="left"/>
    </xf>
    <xf numFmtId="0" fontId="0" fillId="0" borderId="1" xfId="0" applyBorder="1" applyAlignment="1">
      <alignment horizontal="left" vertical="center" wrapText="1"/>
    </xf>
    <xf numFmtId="0" fontId="9" fillId="0" borderId="5" xfId="0" applyFont="1" applyFill="1" applyBorder="1" applyAlignment="1">
      <alignment horizontal="justify" vertical="center" wrapText="1"/>
    </xf>
    <xf numFmtId="0" fontId="9" fillId="0" borderId="3" xfId="0" applyFont="1" applyFill="1" applyBorder="1" applyAlignment="1">
      <alignment horizontal="justify" vertical="center" wrapText="1"/>
    </xf>
    <xf numFmtId="0" fontId="9" fillId="0" borderId="4" xfId="0" applyFont="1" applyFill="1" applyBorder="1" applyAlignment="1">
      <alignment horizontal="justify" vertical="center" wrapText="1"/>
    </xf>
    <xf numFmtId="0" fontId="9" fillId="0" borderId="3" xfId="0" applyFont="1" applyBorder="1" applyAlignment="1">
      <alignment horizontal="justify" vertical="center" wrapText="1"/>
    </xf>
    <xf numFmtId="0" fontId="9" fillId="0" borderId="4" xfId="0" applyFont="1" applyBorder="1" applyAlignment="1">
      <alignment horizontal="justify" vertical="center" wrapText="1"/>
    </xf>
    <xf numFmtId="0" fontId="18" fillId="0" borderId="5" xfId="0" applyFont="1" applyFill="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3" xfId="0" applyBorder="1" applyAlignment="1">
      <alignment horizontal="justify" vertical="center" wrapText="1"/>
    </xf>
    <xf numFmtId="0" fontId="0" fillId="0" borderId="4" xfId="0" applyBorder="1" applyAlignment="1">
      <alignment horizontal="justify" vertical="center" wrapText="1"/>
    </xf>
    <xf numFmtId="0" fontId="8" fillId="0" borderId="1" xfId="0" applyFont="1" applyBorder="1" applyAlignment="1">
      <alignment horizontal="left" vertical="center"/>
    </xf>
    <xf numFmtId="0" fontId="8" fillId="4" borderId="5" xfId="0" applyFont="1" applyFill="1" applyBorder="1" applyAlignment="1">
      <alignment horizontal="right" vertical="center"/>
    </xf>
    <xf numFmtId="0" fontId="0" fillId="4" borderId="3" xfId="0" applyFill="1" applyBorder="1" applyAlignment="1">
      <alignment horizontal="right" vertical="center"/>
    </xf>
    <xf numFmtId="0" fontId="0" fillId="4" borderId="4" xfId="0" applyFill="1" applyBorder="1" applyAlignment="1">
      <alignment horizontal="right" vertical="center"/>
    </xf>
    <xf numFmtId="0" fontId="2" fillId="0" borderId="4" xfId="0" applyFont="1" applyBorder="1" applyAlignment="1">
      <alignment horizontal="left" vertical="center" wrapText="1"/>
    </xf>
    <xf numFmtId="49" fontId="10" fillId="5" borderId="5" xfId="0" applyNumberFormat="1" applyFont="1" applyFill="1" applyBorder="1" applyAlignment="1">
      <alignment horizontal="left" vertical="center" wrapText="1"/>
    </xf>
    <xf numFmtId="0" fontId="0" fillId="0" borderId="3" xfId="0" applyBorder="1" applyAlignment="1">
      <alignment horizontal="left"/>
    </xf>
    <xf numFmtId="0" fontId="0" fillId="0" borderId="4" xfId="0" applyBorder="1" applyAlignment="1">
      <alignment horizontal="left"/>
    </xf>
    <xf numFmtId="0" fontId="19" fillId="0" borderId="3" xfId="0" applyFont="1" applyBorder="1" applyAlignment="1">
      <alignment horizontal="left" vertical="center" wrapText="1"/>
    </xf>
    <xf numFmtId="0" fontId="19" fillId="0" borderId="4" xfId="0" applyFont="1" applyBorder="1" applyAlignment="1">
      <alignment horizontal="left" vertical="center" wrapText="1"/>
    </xf>
    <xf numFmtId="49" fontId="13" fillId="0" borderId="5"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49" fontId="13" fillId="5" borderId="5" xfId="0" applyNumberFormat="1" applyFont="1" applyFill="1" applyBorder="1" applyAlignment="1">
      <alignment horizontal="center" vertical="center" wrapText="1"/>
    </xf>
    <xf numFmtId="49" fontId="13" fillId="5" borderId="3" xfId="0" applyNumberFormat="1" applyFont="1" applyFill="1" applyBorder="1" applyAlignment="1">
      <alignment horizontal="center" vertical="center" wrapText="1"/>
    </xf>
    <xf numFmtId="49" fontId="13" fillId="5" borderId="4" xfId="0" applyNumberFormat="1" applyFont="1" applyFill="1" applyBorder="1" applyAlignment="1">
      <alignment horizontal="center" vertical="center" wrapText="1"/>
    </xf>
    <xf numFmtId="0" fontId="8" fillId="5" borderId="1" xfId="0" applyFont="1" applyFill="1" applyBorder="1" applyAlignment="1">
      <alignment horizontal="center" vertical="center" wrapText="1"/>
    </xf>
    <xf numFmtId="49" fontId="26" fillId="5" borderId="5" xfId="0" applyNumberFormat="1" applyFont="1" applyFill="1" applyBorder="1" applyAlignment="1">
      <alignment horizontal="justify" vertical="center" wrapText="1"/>
    </xf>
    <xf numFmtId="0" fontId="27" fillId="5" borderId="3" xfId="0" applyFont="1" applyFill="1" applyBorder="1" applyAlignment="1">
      <alignment horizontal="justify" vertical="center" wrapText="1"/>
    </xf>
    <xf numFmtId="0" fontId="27" fillId="5" borderId="4" xfId="0" applyFont="1" applyFill="1" applyBorder="1" applyAlignment="1">
      <alignment horizontal="justify" vertical="center" wrapText="1"/>
    </xf>
    <xf numFmtId="49" fontId="8" fillId="5" borderId="1" xfId="0" applyNumberFormat="1" applyFont="1" applyFill="1" applyBorder="1" applyAlignment="1">
      <alignment horizontal="center" vertical="center" wrapText="1"/>
    </xf>
    <xf numFmtId="0" fontId="8" fillId="0" borderId="1" xfId="0" applyFont="1" applyBorder="1" applyAlignment="1">
      <alignment horizontal="justify" vertical="top"/>
    </xf>
    <xf numFmtId="0" fontId="8" fillId="6" borderId="1" xfId="0" applyFont="1" applyFill="1" applyBorder="1" applyAlignment="1">
      <alignment horizontal="center"/>
    </xf>
    <xf numFmtId="0" fontId="10" fillId="0" borderId="5" xfId="0" applyFont="1" applyBorder="1" applyAlignment="1">
      <alignment horizontal="left"/>
    </xf>
    <xf numFmtId="0" fontId="10" fillId="0" borderId="3" xfId="0" applyFont="1" applyBorder="1" applyAlignment="1">
      <alignment horizontal="left"/>
    </xf>
    <xf numFmtId="0" fontId="14" fillId="0" borderId="1" xfId="0" applyFont="1" applyBorder="1" applyAlignment="1">
      <alignment horizontal="center"/>
    </xf>
    <xf numFmtId="0" fontId="10" fillId="0" borderId="5" xfId="0" applyFont="1" applyBorder="1" applyAlignment="1">
      <alignment horizontal="center"/>
    </xf>
    <xf numFmtId="0" fontId="10" fillId="0" borderId="4" xfId="0" applyFont="1" applyBorder="1" applyAlignment="1">
      <alignment horizontal="center"/>
    </xf>
    <xf numFmtId="0" fontId="8" fillId="2" borderId="15" xfId="0" applyFont="1" applyFill="1" applyBorder="1" applyAlignment="1">
      <alignment horizontal="center" vertical="center"/>
    </xf>
    <xf numFmtId="0" fontId="8" fillId="2" borderId="16" xfId="0" applyFont="1" applyFill="1" applyBorder="1" applyAlignment="1">
      <alignment horizontal="center" vertical="center"/>
    </xf>
    <xf numFmtId="0" fontId="0" fillId="0" borderId="16" xfId="0" applyBorder="1" applyAlignment="1"/>
    <xf numFmtId="0" fontId="0" fillId="0" borderId="17" xfId="0" applyBorder="1" applyAlignment="1"/>
    <xf numFmtId="0" fontId="8" fillId="2" borderId="13" xfId="0" applyFont="1" applyFill="1" applyBorder="1" applyAlignment="1">
      <alignment horizontal="center" vertical="center"/>
    </xf>
    <xf numFmtId="0" fontId="8" fillId="2" borderId="11" xfId="0" applyFont="1" applyFill="1" applyBorder="1" applyAlignment="1">
      <alignment horizontal="center" vertical="center"/>
    </xf>
    <xf numFmtId="0" fontId="0" fillId="0" borderId="11" xfId="0" applyBorder="1" applyAlignment="1"/>
    <xf numFmtId="0" fontId="0" fillId="0" borderId="12" xfId="0" applyBorder="1" applyAlignment="1"/>
    <xf numFmtId="0" fontId="21" fillId="0" borderId="5" xfId="0" applyFont="1" applyBorder="1" applyAlignment="1">
      <alignment horizontal="justify" vertical="center" wrapText="1"/>
    </xf>
    <xf numFmtId="0" fontId="21" fillId="0" borderId="3" xfId="0" applyFont="1" applyBorder="1" applyAlignment="1">
      <alignment horizontal="justify" vertical="center" wrapText="1"/>
    </xf>
    <xf numFmtId="0" fontId="21" fillId="0" borderId="4" xfId="0" applyFont="1" applyBorder="1" applyAlignment="1">
      <alignment horizontal="justify" vertical="center" wrapText="1"/>
    </xf>
    <xf numFmtId="169" fontId="28" fillId="0" borderId="5" xfId="0" applyNumberFormat="1" applyFont="1" applyFill="1" applyBorder="1" applyAlignment="1">
      <alignment horizontal="center" vertical="center"/>
    </xf>
    <xf numFmtId="169" fontId="28" fillId="0" borderId="3" xfId="0" applyNumberFormat="1" applyFont="1" applyFill="1" applyBorder="1" applyAlignment="1">
      <alignment horizontal="center" vertical="center"/>
    </xf>
    <xf numFmtId="169" fontId="30" fillId="0" borderId="4" xfId="0" applyNumberFormat="1" applyFont="1" applyBorder="1" applyAlignment="1">
      <alignment vertical="center"/>
    </xf>
    <xf numFmtId="4" fontId="8" fillId="0" borderId="2" xfId="0" applyNumberFormat="1" applyFont="1" applyBorder="1" applyAlignment="1">
      <alignment horizontal="center"/>
    </xf>
    <xf numFmtId="0" fontId="8" fillId="0" borderId="2" xfId="0" applyFont="1" applyBorder="1" applyAlignment="1">
      <alignment horizontal="center"/>
    </xf>
    <xf numFmtId="0" fontId="9" fillId="2" borderId="5" xfId="0" applyFont="1" applyFill="1" applyBorder="1" applyAlignment="1">
      <alignment horizontal="right" wrapText="1"/>
    </xf>
    <xf numFmtId="0" fontId="0" fillId="2" borderId="3" xfId="0" applyFill="1" applyBorder="1" applyAlignment="1">
      <alignment horizontal="right" wrapText="1"/>
    </xf>
    <xf numFmtId="0" fontId="0" fillId="2" borderId="3" xfId="0" applyFill="1" applyBorder="1" applyAlignment="1">
      <alignment horizontal="right"/>
    </xf>
    <xf numFmtId="0" fontId="0" fillId="2" borderId="4" xfId="0" applyFill="1" applyBorder="1" applyAlignment="1">
      <alignment horizontal="right"/>
    </xf>
    <xf numFmtId="4" fontId="8" fillId="0" borderId="13" xfId="0" applyNumberFormat="1" applyFont="1" applyBorder="1" applyAlignment="1">
      <alignment horizontal="center"/>
    </xf>
    <xf numFmtId="0" fontId="8" fillId="0" borderId="12" xfId="0" applyFont="1" applyBorder="1" applyAlignment="1">
      <alignment horizontal="center"/>
    </xf>
    <xf numFmtId="0" fontId="8" fillId="6" borderId="5" xfId="0" applyFont="1" applyFill="1" applyBorder="1" applyAlignment="1">
      <alignment horizontal="justify" vertical="center" wrapText="1"/>
    </xf>
    <xf numFmtId="0" fontId="8" fillId="6" borderId="3" xfId="0" applyFont="1" applyFill="1" applyBorder="1" applyAlignment="1">
      <alignment horizontal="justify" vertical="center" wrapText="1"/>
    </xf>
    <xf numFmtId="0" fontId="8" fillId="0" borderId="13"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5" xfId="0" applyFont="1" applyBorder="1" applyAlignment="1">
      <alignment horizontal="justify" vertical="top"/>
    </xf>
    <xf numFmtId="0" fontId="8" fillId="0" borderId="3" xfId="0" applyFont="1" applyBorder="1" applyAlignment="1">
      <alignment horizontal="justify" vertical="top"/>
    </xf>
    <xf numFmtId="0" fontId="21" fillId="0" borderId="5" xfId="0" applyFont="1"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1" fillId="4" borderId="3" xfId="0" applyFont="1" applyFill="1" applyBorder="1" applyAlignment="1">
      <alignment horizontal="left" vertical="center" wrapText="1"/>
    </xf>
    <xf numFmtId="0" fontId="30" fillId="4" borderId="3" xfId="0" applyFont="1" applyFill="1" applyBorder="1" applyAlignment="1">
      <alignment horizontal="left" vertical="center" wrapText="1"/>
    </xf>
    <xf numFmtId="0" fontId="28" fillId="0" borderId="5"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4" xfId="0" applyFont="1" applyBorder="1" applyAlignment="1">
      <alignment horizontal="center" vertical="center" wrapText="1"/>
    </xf>
    <xf numFmtId="0" fontId="8" fillId="0" borderId="13" xfId="0" applyFont="1" applyBorder="1" applyAlignment="1">
      <alignment horizontal="justify" wrapText="1"/>
    </xf>
    <xf numFmtId="0" fontId="8" fillId="0" borderId="11" xfId="0" applyFont="1" applyBorder="1" applyAlignment="1">
      <alignment horizontal="justify" wrapText="1"/>
    </xf>
    <xf numFmtId="0" fontId="8" fillId="0" borderId="12" xfId="0" applyFont="1" applyBorder="1" applyAlignment="1">
      <alignment horizontal="justify" wrapText="1"/>
    </xf>
    <xf numFmtId="0" fontId="8" fillId="6" borderId="5" xfId="0" applyFont="1" applyFill="1" applyBorder="1" applyAlignment="1">
      <alignment horizontal="justify" wrapText="1"/>
    </xf>
    <xf numFmtId="0" fontId="8" fillId="6" borderId="3" xfId="0" applyFont="1" applyFill="1" applyBorder="1" applyAlignment="1">
      <alignment horizontal="justify" wrapText="1"/>
    </xf>
    <xf numFmtId="0" fontId="8" fillId="6" borderId="3" xfId="0" applyFont="1" applyFill="1" applyBorder="1" applyAlignment="1"/>
    <xf numFmtId="0" fontId="8" fillId="0" borderId="5" xfId="0" applyFont="1" applyBorder="1" applyAlignment="1">
      <alignment horizontal="left" wrapText="1"/>
    </xf>
    <xf numFmtId="0" fontId="9" fillId="0" borderId="3" xfId="0" applyFont="1" applyBorder="1" applyAlignment="1">
      <alignment horizontal="left" wrapText="1"/>
    </xf>
    <xf numFmtId="0" fontId="9" fillId="0" borderId="3" xfId="0" applyFont="1" applyBorder="1" applyAlignment="1">
      <alignment horizontal="left"/>
    </xf>
    <xf numFmtId="0" fontId="9" fillId="0" borderId="4" xfId="0" applyFont="1" applyBorder="1" applyAlignment="1">
      <alignment horizontal="left"/>
    </xf>
    <xf numFmtId="0" fontId="34" fillId="0" borderId="5" xfId="0" applyFont="1" applyBorder="1" applyAlignment="1">
      <alignment horizontal="right" wrapText="1"/>
    </xf>
    <xf numFmtId="0" fontId="35" fillId="0" borderId="3" xfId="0" applyFont="1" applyBorder="1" applyAlignment="1">
      <alignment horizontal="right"/>
    </xf>
    <xf numFmtId="0" fontId="9" fillId="0" borderId="11" xfId="0" applyFont="1" applyBorder="1" applyAlignment="1">
      <alignment horizontal="right" wrapText="1"/>
    </xf>
    <xf numFmtId="0" fontId="9" fillId="0" borderId="12" xfId="0" applyFont="1" applyBorder="1" applyAlignment="1">
      <alignment horizontal="right" wrapText="1"/>
    </xf>
    <xf numFmtId="0" fontId="0" fillId="6" borderId="3" xfId="0" applyFill="1" applyBorder="1" applyAlignment="1">
      <alignment horizontal="right" wrapText="1"/>
    </xf>
    <xf numFmtId="0" fontId="10" fillId="0" borderId="4" xfId="0" applyFont="1" applyBorder="1" applyAlignment="1">
      <alignment horizontal="right" vertical="center" wrapText="1"/>
    </xf>
    <xf numFmtId="0" fontId="8" fillId="0" borderId="2" xfId="0" applyFont="1" applyBorder="1" applyAlignment="1">
      <alignment horizontal="left" wrapText="1"/>
    </xf>
    <xf numFmtId="0" fontId="9" fillId="2" borderId="3" xfId="0" applyFont="1" applyFill="1" applyBorder="1" applyAlignment="1">
      <alignment horizontal="right" wrapText="1"/>
    </xf>
    <xf numFmtId="0" fontId="9" fillId="2" borderId="4" xfId="0" applyFont="1" applyFill="1" applyBorder="1" applyAlignment="1">
      <alignment horizontal="right" wrapText="1"/>
    </xf>
    <xf numFmtId="0" fontId="21" fillId="4" borderId="16" xfId="0" applyFont="1" applyFill="1" applyBorder="1" applyAlignment="1">
      <alignment horizontal="center"/>
    </xf>
    <xf numFmtId="0" fontId="30" fillId="0" borderId="16" xfId="0" applyFont="1" applyBorder="1" applyAlignment="1"/>
    <xf numFmtId="0" fontId="9" fillId="2" borderId="3" xfId="0" applyFont="1" applyFill="1" applyBorder="1" applyAlignment="1">
      <alignment horizontal="right"/>
    </xf>
    <xf numFmtId="0" fontId="9" fillId="2" borderId="4" xfId="0" applyFont="1" applyFill="1" applyBorder="1" applyAlignment="1">
      <alignment horizontal="right"/>
    </xf>
    <xf numFmtId="0" fontId="9" fillId="0" borderId="5" xfId="0" applyFont="1" applyBorder="1" applyAlignment="1">
      <alignment horizontal="right" wrapText="1"/>
    </xf>
    <xf numFmtId="0" fontId="9" fillId="0" borderId="3" xfId="0" applyFont="1" applyBorder="1" applyAlignment="1">
      <alignment horizontal="right" wrapText="1"/>
    </xf>
    <xf numFmtId="0" fontId="9" fillId="0" borderId="3" xfId="0" applyFont="1" applyBorder="1" applyAlignment="1">
      <alignment horizontal="right"/>
    </xf>
    <xf numFmtId="0" fontId="9" fillId="0" borderId="4" xfId="0" applyFont="1" applyBorder="1" applyAlignment="1">
      <alignment horizontal="right"/>
    </xf>
    <xf numFmtId="0" fontId="8" fillId="4" borderId="5" xfId="0" applyFont="1" applyFill="1" applyBorder="1" applyAlignment="1">
      <alignment horizontal="left"/>
    </xf>
    <xf numFmtId="0" fontId="8" fillId="4" borderId="3" xfId="0" applyFont="1" applyFill="1" applyBorder="1" applyAlignment="1">
      <alignment horizontal="left"/>
    </xf>
    <xf numFmtId="0" fontId="8" fillId="4" borderId="4" xfId="0" applyFont="1" applyFill="1" applyBorder="1" applyAlignment="1">
      <alignment horizontal="left"/>
    </xf>
    <xf numFmtId="0" fontId="8" fillId="0" borderId="13" xfId="0" applyFont="1" applyBorder="1" applyAlignment="1">
      <alignment horizontal="left"/>
    </xf>
    <xf numFmtId="0" fontId="8" fillId="0" borderId="12" xfId="0" applyFont="1" applyBorder="1" applyAlignment="1">
      <alignment horizontal="left"/>
    </xf>
    <xf numFmtId="0" fontId="9" fillId="0" borderId="13" xfId="0" applyFont="1" applyBorder="1" applyAlignment="1">
      <alignment horizontal="center"/>
    </xf>
    <xf numFmtId="0" fontId="9" fillId="0" borderId="12" xfId="0" applyFont="1" applyBorder="1" applyAlignment="1">
      <alignment horizontal="center"/>
    </xf>
    <xf numFmtId="0" fontId="8" fillId="6" borderId="5" xfId="0" applyFont="1" applyFill="1" applyBorder="1" applyAlignment="1">
      <alignment horizontal="left"/>
    </xf>
    <xf numFmtId="0" fontId="8" fillId="0" borderId="3" xfId="0" applyFont="1" applyBorder="1" applyAlignment="1">
      <alignment horizontal="left" wrapText="1"/>
    </xf>
    <xf numFmtId="0" fontId="8" fillId="0" borderId="4" xfId="0" applyFont="1" applyBorder="1" applyAlignment="1">
      <alignment horizontal="left" wrapText="1"/>
    </xf>
    <xf numFmtId="0" fontId="8" fillId="2" borderId="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0" fillId="2" borderId="12" xfId="0" applyFill="1" applyBorder="1" applyAlignment="1">
      <alignment vertical="center" wrapText="1"/>
    </xf>
    <xf numFmtId="4" fontId="9" fillId="0" borderId="5" xfId="0" applyNumberFormat="1" applyFont="1" applyBorder="1" applyAlignment="1">
      <alignment horizontal="center" wrapText="1"/>
    </xf>
    <xf numFmtId="0" fontId="0" fillId="0" borderId="4" xfId="0" applyBorder="1" applyAlignment="1">
      <alignment wrapText="1"/>
    </xf>
    <xf numFmtId="0" fontId="42" fillId="0" borderId="0" xfId="0" applyFont="1" applyBorder="1" applyAlignment="1">
      <alignment horizontal="center" vertical="center" wrapText="1"/>
    </xf>
    <xf numFmtId="0" fontId="40" fillId="0" borderId="3" xfId="0" applyFont="1" applyBorder="1" applyAlignment="1">
      <alignment horizontal="left" vertical="center" wrapText="1"/>
    </xf>
    <xf numFmtId="0" fontId="12" fillId="2" borderId="5" xfId="0" applyFont="1" applyFill="1" applyBorder="1" applyAlignment="1">
      <alignment horizontal="center" vertical="center" wrapText="1"/>
    </xf>
    <xf numFmtId="0" fontId="19" fillId="0" borderId="3" xfId="0" applyFont="1" applyBorder="1" applyAlignment="1">
      <alignment vertical="center" wrapText="1"/>
    </xf>
    <xf numFmtId="0" fontId="12" fillId="0" borderId="5"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0" fillId="0" borderId="3" xfId="0" applyBorder="1"/>
    <xf numFmtId="0" fontId="0" fillId="0" borderId="4" xfId="0" applyBorder="1"/>
    <xf numFmtId="0" fontId="12" fillId="2" borderId="11"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33" fillId="0" borderId="1" xfId="0" applyFont="1" applyBorder="1" applyAlignment="1">
      <alignment horizontal="left" vertical="center"/>
    </xf>
    <xf numFmtId="0" fontId="32" fillId="0" borderId="1" xfId="0" applyFont="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8" fillId="18" borderId="5" xfId="0" applyFont="1" applyFill="1" applyBorder="1" applyAlignment="1">
      <alignment horizontal="center" vertical="center"/>
    </xf>
    <xf numFmtId="0" fontId="8" fillId="18" borderId="3" xfId="0" applyFont="1" applyFill="1" applyBorder="1" applyAlignment="1">
      <alignment horizontal="center" vertical="center"/>
    </xf>
    <xf numFmtId="0" fontId="8" fillId="18" borderId="4" xfId="0" applyFont="1" applyFill="1" applyBorder="1" applyAlignment="1">
      <alignment horizontal="center" vertical="center"/>
    </xf>
    <xf numFmtId="0" fontId="8" fillId="19" borderId="5" xfId="0" applyFont="1" applyFill="1" applyBorder="1" applyAlignment="1">
      <alignment horizontal="center" vertical="center"/>
    </xf>
    <xf numFmtId="0" fontId="8" fillId="19" borderId="3" xfId="0" applyFont="1" applyFill="1" applyBorder="1" applyAlignment="1">
      <alignment horizontal="center" vertical="center"/>
    </xf>
    <xf numFmtId="0" fontId="8" fillId="19" borderId="4" xfId="0" applyFont="1" applyFill="1" applyBorder="1" applyAlignment="1">
      <alignment horizontal="center" vertical="center"/>
    </xf>
    <xf numFmtId="1" fontId="59" fillId="15" borderId="1" xfId="0" applyNumberFormat="1" applyFont="1" applyFill="1" applyBorder="1" applyAlignment="1">
      <alignment horizontal="center"/>
    </xf>
    <xf numFmtId="0" fontId="8" fillId="13" borderId="15" xfId="0" applyFont="1" applyFill="1" applyBorder="1" applyAlignment="1">
      <alignment horizontal="center" vertical="center"/>
    </xf>
    <xf numFmtId="0" fontId="8" fillId="13" borderId="16" xfId="0" applyFont="1" applyFill="1" applyBorder="1" applyAlignment="1">
      <alignment horizontal="center" vertical="center"/>
    </xf>
    <xf numFmtId="0" fontId="8" fillId="13" borderId="17" xfId="0" applyFont="1" applyFill="1" applyBorder="1" applyAlignment="1">
      <alignment horizontal="center" vertical="center"/>
    </xf>
    <xf numFmtId="0" fontId="8" fillId="13" borderId="14" xfId="0" applyFont="1" applyFill="1" applyBorder="1" applyAlignment="1">
      <alignment horizontal="center" vertical="center"/>
    </xf>
    <xf numFmtId="0" fontId="8" fillId="13" borderId="0" xfId="0" applyFont="1" applyFill="1" applyBorder="1" applyAlignment="1">
      <alignment horizontal="center" vertical="center"/>
    </xf>
    <xf numFmtId="0" fontId="8" fillId="13" borderId="44" xfId="0" applyFont="1" applyFill="1" applyBorder="1" applyAlignment="1">
      <alignment horizontal="center" vertical="center"/>
    </xf>
    <xf numFmtId="0" fontId="8" fillId="13" borderId="13" xfId="0" applyFont="1" applyFill="1" applyBorder="1" applyAlignment="1">
      <alignment horizontal="center" vertical="center"/>
    </xf>
    <xf numFmtId="0" fontId="8" fillId="13" borderId="11" xfId="0" applyFont="1" applyFill="1" applyBorder="1" applyAlignment="1">
      <alignment horizontal="center" vertical="center"/>
    </xf>
    <xf numFmtId="0" fontId="8" fillId="13" borderId="12" xfId="0" applyFont="1" applyFill="1" applyBorder="1" applyAlignment="1">
      <alignment horizontal="center" vertical="center"/>
    </xf>
    <xf numFmtId="0" fontId="8" fillId="17" borderId="15" xfId="0" applyFont="1" applyFill="1" applyBorder="1" applyAlignment="1">
      <alignment horizontal="center" vertical="center"/>
    </xf>
    <xf numFmtId="0" fontId="8" fillId="17" borderId="16" xfId="0" applyFont="1" applyFill="1" applyBorder="1" applyAlignment="1">
      <alignment horizontal="center" vertical="center"/>
    </xf>
    <xf numFmtId="0" fontId="8" fillId="17" borderId="17" xfId="0" applyFont="1" applyFill="1" applyBorder="1" applyAlignment="1">
      <alignment horizontal="center" vertical="center"/>
    </xf>
    <xf numFmtId="0" fontId="8" fillId="17" borderId="14" xfId="0" applyFont="1" applyFill="1" applyBorder="1" applyAlignment="1">
      <alignment horizontal="center" vertical="center"/>
    </xf>
    <xf numFmtId="0" fontId="8" fillId="17" borderId="0" xfId="0" applyFont="1" applyFill="1" applyBorder="1" applyAlignment="1">
      <alignment horizontal="center" vertical="center"/>
    </xf>
    <xf numFmtId="0" fontId="8" fillId="17" borderId="44" xfId="0" applyFont="1" applyFill="1" applyBorder="1" applyAlignment="1">
      <alignment horizontal="center" vertical="center"/>
    </xf>
    <xf numFmtId="0" fontId="8" fillId="17" borderId="13" xfId="0" applyFont="1" applyFill="1" applyBorder="1" applyAlignment="1">
      <alignment horizontal="center" vertical="center"/>
    </xf>
    <xf numFmtId="0" fontId="8" fillId="17" borderId="11" xfId="0" applyFont="1" applyFill="1" applyBorder="1" applyAlignment="1">
      <alignment horizontal="center" vertical="center"/>
    </xf>
    <xf numFmtId="0" fontId="8" fillId="17" borderId="12" xfId="0" applyFont="1" applyFill="1" applyBorder="1" applyAlignment="1">
      <alignment horizontal="center" vertical="center"/>
    </xf>
    <xf numFmtId="0" fontId="8" fillId="11" borderId="15" xfId="0" applyFont="1" applyFill="1" applyBorder="1" applyAlignment="1">
      <alignment horizontal="center" vertical="center"/>
    </xf>
    <xf numFmtId="0" fontId="8" fillId="11" borderId="16" xfId="0" applyFont="1" applyFill="1" applyBorder="1" applyAlignment="1">
      <alignment horizontal="center" vertical="center"/>
    </xf>
    <xf numFmtId="0" fontId="8" fillId="11" borderId="17" xfId="0" applyFont="1" applyFill="1" applyBorder="1" applyAlignment="1">
      <alignment horizontal="center" vertical="center"/>
    </xf>
    <xf numFmtId="0" fontId="8" fillId="11" borderId="14" xfId="0" applyFont="1" applyFill="1" applyBorder="1" applyAlignment="1">
      <alignment horizontal="center" vertical="center"/>
    </xf>
    <xf numFmtId="0" fontId="8" fillId="11" borderId="0" xfId="0" applyFont="1" applyFill="1" applyBorder="1" applyAlignment="1">
      <alignment horizontal="center" vertical="center"/>
    </xf>
    <xf numFmtId="0" fontId="8" fillId="11" borderId="44" xfId="0" applyFont="1" applyFill="1" applyBorder="1" applyAlignment="1">
      <alignment horizontal="center" vertical="center"/>
    </xf>
    <xf numFmtId="0" fontId="8" fillId="11" borderId="13" xfId="0" applyFont="1" applyFill="1" applyBorder="1" applyAlignment="1">
      <alignment horizontal="center" vertical="center"/>
    </xf>
    <xf numFmtId="0" fontId="8" fillId="11" borderId="11" xfId="0" applyFont="1" applyFill="1" applyBorder="1" applyAlignment="1">
      <alignment horizontal="center" vertical="center"/>
    </xf>
    <xf numFmtId="0" fontId="8" fillId="11" borderId="12" xfId="0" applyFont="1" applyFill="1" applyBorder="1" applyAlignment="1">
      <alignment horizontal="center" vertical="center"/>
    </xf>
    <xf numFmtId="0" fontId="0" fillId="0" borderId="6" xfId="0" applyFont="1" applyBorder="1" applyAlignment="1">
      <alignment horizontal="left"/>
    </xf>
    <xf numFmtId="0" fontId="0" fillId="0" borderId="6" xfId="0" applyFont="1" applyBorder="1" applyAlignment="1">
      <alignment horizontal="center"/>
    </xf>
    <xf numFmtId="0" fontId="10" fillId="0" borderId="6" xfId="0" applyFont="1" applyBorder="1" applyAlignment="1">
      <alignment horizontal="left"/>
    </xf>
    <xf numFmtId="4" fontId="0" fillId="0" borderId="6" xfId="0" applyNumberFormat="1" applyFont="1" applyBorder="1" applyAlignment="1">
      <alignment horizontal="center"/>
    </xf>
    <xf numFmtId="0" fontId="8" fillId="0" borderId="6" xfId="0" applyFont="1" applyBorder="1" applyAlignment="1">
      <alignment horizontal="justify" wrapText="1"/>
    </xf>
    <xf numFmtId="0" fontId="8" fillId="8" borderId="6" xfId="0" applyFont="1" applyFill="1" applyBorder="1" applyAlignment="1">
      <alignment horizontal="center"/>
    </xf>
    <xf numFmtId="0" fontId="8" fillId="8" borderId="6" xfId="0" applyFont="1" applyFill="1" applyBorder="1" applyAlignment="1">
      <alignment horizontal="justify" vertical="center" wrapText="1"/>
    </xf>
    <xf numFmtId="0" fontId="8" fillId="0" borderId="6" xfId="0" applyFont="1" applyBorder="1" applyAlignment="1">
      <alignment horizontal="justify" vertical="top"/>
    </xf>
    <xf numFmtId="0" fontId="8" fillId="7" borderId="6" xfId="0" applyFont="1" applyFill="1" applyBorder="1" applyAlignment="1">
      <alignment horizontal="center" vertical="center"/>
    </xf>
    <xf numFmtId="0" fontId="8" fillId="7" borderId="6" xfId="0" applyFont="1" applyFill="1" applyBorder="1" applyAlignment="1">
      <alignment horizontal="center" vertical="center" wrapText="1"/>
    </xf>
    <xf numFmtId="0" fontId="8" fillId="0" borderId="6" xfId="0" applyFont="1" applyBorder="1" applyAlignment="1">
      <alignment horizontal="center" vertical="center" wrapText="1"/>
    </xf>
    <xf numFmtId="0" fontId="14" fillId="0" borderId="6" xfId="0" applyFont="1" applyBorder="1" applyAlignment="1">
      <alignment horizontal="center"/>
    </xf>
    <xf numFmtId="0" fontId="8" fillId="0" borderId="6" xfId="0" applyFont="1" applyBorder="1" applyAlignment="1">
      <alignment horizontal="left"/>
    </xf>
    <xf numFmtId="0" fontId="8" fillId="0" borderId="8" xfId="0" applyFont="1" applyBorder="1" applyAlignment="1">
      <alignment horizontal="justify" vertical="top"/>
    </xf>
    <xf numFmtId="0" fontId="21" fillId="8" borderId="9" xfId="0" applyFont="1" applyFill="1" applyBorder="1" applyAlignment="1">
      <alignment horizontal="left" vertical="center" wrapText="1"/>
    </xf>
    <xf numFmtId="0" fontId="21" fillId="0" borderId="6" xfId="0" applyFont="1" applyBorder="1" applyAlignment="1">
      <alignment horizontal="justify" vertical="center" wrapText="1"/>
    </xf>
    <xf numFmtId="169" fontId="15" fillId="0" borderId="6" xfId="0" applyNumberFormat="1" applyFont="1" applyFill="1" applyBorder="1" applyAlignment="1">
      <alignment horizontal="center" vertical="center"/>
    </xf>
    <xf numFmtId="0" fontId="8" fillId="8" borderId="6" xfId="0" applyFont="1" applyFill="1" applyBorder="1" applyAlignment="1">
      <alignment horizontal="left"/>
    </xf>
    <xf numFmtId="0" fontId="21" fillId="0" borderId="6" xfId="0" applyFont="1" applyFill="1" applyBorder="1" applyAlignment="1">
      <alignment horizontal="left" vertical="center" wrapText="1"/>
    </xf>
    <xf numFmtId="169" fontId="28" fillId="0" borderId="6" xfId="0" applyNumberFormat="1" applyFont="1" applyFill="1" applyBorder="1" applyAlignment="1">
      <alignment horizontal="center" vertical="center" wrapText="1"/>
    </xf>
    <xf numFmtId="0" fontId="21" fillId="8" borderId="24" xfId="0" applyFont="1" applyFill="1" applyBorder="1" applyAlignment="1">
      <alignment horizontal="center"/>
    </xf>
    <xf numFmtId="0" fontId="9" fillId="0" borderId="6" xfId="0" applyFont="1" applyBorder="1" applyAlignment="1">
      <alignment horizontal="right" wrapText="1"/>
    </xf>
    <xf numFmtId="4" fontId="9" fillId="0" borderId="6" xfId="0" applyNumberFormat="1" applyFont="1" applyBorder="1" applyAlignment="1">
      <alignment horizontal="right" vertical="center" wrapText="1"/>
    </xf>
    <xf numFmtId="0" fontId="9" fillId="8" borderId="6" xfId="0" applyFont="1" applyFill="1" applyBorder="1" applyAlignment="1">
      <alignment horizontal="right" wrapText="1"/>
    </xf>
    <xf numFmtId="0" fontId="9" fillId="0" borderId="25" xfId="0" applyFont="1" applyBorder="1" applyAlignment="1">
      <alignment horizontal="right" wrapText="1"/>
    </xf>
    <xf numFmtId="0" fontId="21" fillId="0" borderId="6" xfId="0" applyFont="1" applyBorder="1" applyAlignment="1">
      <alignment horizontal="left" vertical="center" wrapText="1"/>
    </xf>
    <xf numFmtId="0" fontId="28" fillId="0" borderId="6" xfId="0" applyFont="1" applyBorder="1" applyAlignment="1">
      <alignment horizontal="center" vertical="center" wrapText="1"/>
    </xf>
    <xf numFmtId="0" fontId="9" fillId="7" borderId="6" xfId="0" applyFont="1" applyFill="1" applyBorder="1" applyAlignment="1">
      <alignment horizontal="right" wrapText="1"/>
    </xf>
    <xf numFmtId="4" fontId="9" fillId="7" borderId="6" xfId="0" applyNumberFormat="1" applyFont="1" applyFill="1" applyBorder="1" applyAlignment="1">
      <alignment horizontal="right" vertical="center" wrapText="1"/>
    </xf>
    <xf numFmtId="0" fontId="8" fillId="0" borderId="7" xfId="0" applyFont="1" applyBorder="1" applyAlignment="1">
      <alignment horizontal="left"/>
    </xf>
    <xf numFmtId="4" fontId="8" fillId="0" borderId="7" xfId="0" applyNumberFormat="1" applyFont="1" applyBorder="1" applyAlignment="1">
      <alignment horizontal="center"/>
    </xf>
    <xf numFmtId="4" fontId="8" fillId="0" borderId="6" xfId="0" applyNumberFormat="1" applyFont="1" applyBorder="1" applyAlignment="1">
      <alignment horizontal="right" vertical="center" wrapText="1"/>
    </xf>
    <xf numFmtId="0" fontId="8" fillId="0" borderId="7" xfId="0" applyFont="1" applyBorder="1" applyAlignment="1">
      <alignment horizontal="left" vertical="center" wrapText="1"/>
    </xf>
    <xf numFmtId="0" fontId="8" fillId="0" borderId="8" xfId="0" applyFont="1" applyBorder="1" applyAlignment="1">
      <alignment horizontal="left" wrapText="1"/>
    </xf>
    <xf numFmtId="0" fontId="8" fillId="0" borderId="9" xfId="0" applyFont="1" applyBorder="1" applyAlignment="1">
      <alignment horizontal="left" wrapText="1"/>
    </xf>
    <xf numFmtId="0" fontId="8" fillId="0" borderId="10" xfId="0" applyFont="1" applyBorder="1" applyAlignment="1">
      <alignment horizontal="left" wrapText="1"/>
    </xf>
    <xf numFmtId="4" fontId="8" fillId="0" borderId="6" xfId="0" applyNumberFormat="1" applyFont="1" applyBorder="1" applyAlignment="1">
      <alignment horizontal="center"/>
    </xf>
    <xf numFmtId="0" fontId="8" fillId="0" borderId="6" xfId="0" applyFont="1" applyBorder="1" applyAlignment="1">
      <alignment horizontal="left" wrapText="1"/>
    </xf>
    <xf numFmtId="4" fontId="9" fillId="7" borderId="7" xfId="0" applyNumberFormat="1" applyFont="1" applyFill="1" applyBorder="1" applyAlignment="1">
      <alignment horizontal="right" vertical="center" wrapText="1"/>
    </xf>
    <xf numFmtId="0" fontId="8" fillId="8" borderId="6" xfId="0" applyFont="1" applyFill="1" applyBorder="1" applyAlignment="1">
      <alignment horizontal="right" wrapText="1"/>
    </xf>
    <xf numFmtId="0" fontId="8" fillId="0" borderId="7" xfId="0" applyFont="1" applyBorder="1" applyAlignment="1">
      <alignment horizontal="left" wrapText="1"/>
    </xf>
    <xf numFmtId="4" fontId="8" fillId="0" borderId="37" xfId="0" applyNumberFormat="1" applyFont="1" applyBorder="1" applyAlignment="1">
      <alignment horizontal="right" vertical="center" wrapText="1"/>
    </xf>
    <xf numFmtId="4" fontId="8" fillId="0" borderId="38" xfId="0" applyNumberFormat="1" applyFont="1" applyBorder="1" applyAlignment="1">
      <alignment horizontal="right" vertical="center" wrapText="1"/>
    </xf>
    <xf numFmtId="4" fontId="8" fillId="0" borderId="41" xfId="0" applyNumberFormat="1" applyFont="1" applyBorder="1" applyAlignment="1">
      <alignment horizontal="right" vertical="center" wrapText="1"/>
    </xf>
    <xf numFmtId="4" fontId="8" fillId="0" borderId="42" xfId="0" applyNumberFormat="1" applyFont="1" applyBorder="1" applyAlignment="1">
      <alignment horizontal="right" vertical="center" wrapText="1"/>
    </xf>
    <xf numFmtId="4" fontId="8" fillId="0" borderId="43" xfId="0" applyNumberFormat="1" applyFont="1" applyBorder="1" applyAlignment="1">
      <alignment horizontal="right" vertical="center" wrapText="1"/>
    </xf>
    <xf numFmtId="4" fontId="8" fillId="0" borderId="39" xfId="0" applyNumberFormat="1" applyFont="1" applyBorder="1" applyAlignment="1">
      <alignment horizontal="right" vertical="center" wrapText="1"/>
    </xf>
    <xf numFmtId="4" fontId="8" fillId="0" borderId="26" xfId="0" applyNumberFormat="1" applyFont="1" applyBorder="1" applyAlignment="1">
      <alignment horizontal="right" vertical="center" wrapText="1"/>
    </xf>
    <xf numFmtId="4" fontId="8" fillId="0" borderId="40" xfId="0" applyNumberFormat="1" applyFont="1" applyBorder="1" applyAlignment="1">
      <alignment horizontal="right" vertical="center" wrapText="1"/>
    </xf>
    <xf numFmtId="4" fontId="8" fillId="0" borderId="34" xfId="0" applyNumberFormat="1" applyFont="1" applyBorder="1" applyAlignment="1">
      <alignment horizontal="right" vertical="center" wrapText="1"/>
    </xf>
    <xf numFmtId="4" fontId="8" fillId="0" borderId="35" xfId="0" applyNumberFormat="1" applyFont="1" applyBorder="1" applyAlignment="1">
      <alignment horizontal="right" vertical="center" wrapText="1"/>
    </xf>
    <xf numFmtId="4" fontId="8" fillId="0" borderId="36" xfId="0" applyNumberFormat="1" applyFont="1" applyBorder="1" applyAlignment="1">
      <alignment horizontal="right" vertical="center" wrapText="1"/>
    </xf>
    <xf numFmtId="0" fontId="62" fillId="0" borderId="6" xfId="0" applyFont="1" applyBorder="1" applyAlignment="1">
      <alignment horizontal="left"/>
    </xf>
    <xf numFmtId="0" fontId="8" fillId="7" borderId="7" xfId="0" applyFont="1" applyFill="1" applyBorder="1" applyAlignment="1">
      <alignment horizontal="center" vertical="center"/>
    </xf>
    <xf numFmtId="0" fontId="8" fillId="7" borderId="7" xfId="0" applyFont="1" applyFill="1" applyBorder="1" applyAlignment="1">
      <alignment horizontal="center" vertical="center" wrapText="1"/>
    </xf>
    <xf numFmtId="0" fontId="8" fillId="7" borderId="29" xfId="0" applyFont="1" applyFill="1" applyBorder="1" applyAlignment="1">
      <alignment vertical="center" wrapText="1"/>
    </xf>
    <xf numFmtId="0" fontId="8" fillId="27" borderId="6" xfId="0" applyFont="1" applyFill="1" applyBorder="1" applyAlignment="1">
      <alignment horizontal="right" vertical="center" wrapText="1"/>
    </xf>
    <xf numFmtId="4" fontId="9" fillId="27" borderId="6" xfId="0" applyNumberFormat="1" applyFont="1" applyFill="1" applyBorder="1" applyAlignment="1">
      <alignment horizontal="center" wrapText="1"/>
    </xf>
    <xf numFmtId="0" fontId="0" fillId="0" borderId="24" xfId="0" applyFont="1" applyBorder="1" applyAlignment="1">
      <alignment horizontal="justify" vertical="top" wrapText="1"/>
    </xf>
    <xf numFmtId="0" fontId="0" fillId="19" borderId="6" xfId="0" applyFont="1" applyFill="1" applyBorder="1" applyAlignment="1"/>
    <xf numFmtId="0" fontId="9" fillId="19" borderId="8" xfId="0" applyFont="1" applyFill="1" applyBorder="1" applyAlignment="1">
      <alignment horizontal="center"/>
    </xf>
    <xf numFmtId="2" fontId="9" fillId="19" borderId="6" xfId="0" applyNumberFormat="1" applyFont="1" applyFill="1" applyBorder="1" applyAlignment="1">
      <alignment horizontal="center"/>
    </xf>
    <xf numFmtId="4" fontId="9" fillId="19" borderId="6" xfId="0" applyNumberFormat="1" applyFont="1" applyFill="1" applyBorder="1" applyAlignment="1">
      <alignment horizontal="center" vertical="center"/>
    </xf>
    <xf numFmtId="0" fontId="9" fillId="19" borderId="8" xfId="0" applyFont="1" applyFill="1" applyBorder="1" applyAlignment="1">
      <alignment horizontal="center" wrapText="1"/>
    </xf>
    <xf numFmtId="0" fontId="8" fillId="27" borderId="7" xfId="0" applyFont="1" applyFill="1" applyBorder="1" applyAlignment="1">
      <alignment horizontal="center" vertical="center" wrapText="1"/>
    </xf>
    <xf numFmtId="0" fontId="8" fillId="27" borderId="30" xfId="0" applyFont="1" applyFill="1" applyBorder="1" applyAlignment="1">
      <alignment horizontal="center" vertical="center" wrapText="1"/>
    </xf>
    <xf numFmtId="0" fontId="8" fillId="25" borderId="6" xfId="0" applyFont="1" applyFill="1" applyBorder="1" applyAlignment="1">
      <alignment horizontal="right" vertical="center" wrapText="1"/>
    </xf>
    <xf numFmtId="4" fontId="9" fillId="25" borderId="6" xfId="0" applyNumberFormat="1" applyFont="1" applyFill="1" applyBorder="1" applyAlignment="1">
      <alignment horizontal="center" vertical="center"/>
    </xf>
    <xf numFmtId="10" fontId="9" fillId="18" borderId="6" xfId="0" applyNumberFormat="1" applyFont="1" applyFill="1" applyBorder="1" applyAlignment="1">
      <alignment horizontal="center"/>
    </xf>
    <xf numFmtId="4" fontId="47" fillId="18" borderId="6" xfId="0" applyNumberFormat="1" applyFont="1" applyFill="1" applyBorder="1" applyAlignment="1">
      <alignment horizontal="center"/>
    </xf>
    <xf numFmtId="170" fontId="9" fillId="18" borderId="6" xfId="0" applyNumberFormat="1" applyFont="1" applyFill="1" applyBorder="1" applyAlignment="1">
      <alignment horizontal="center"/>
    </xf>
    <xf numFmtId="0" fontId="8" fillId="19" borderId="1" xfId="0" applyFont="1" applyFill="1" applyBorder="1" applyAlignment="1">
      <alignment horizontal="left" wrapText="1"/>
    </xf>
    <xf numFmtId="0" fontId="0" fillId="25" borderId="7" xfId="0" applyFont="1" applyFill="1" applyBorder="1" applyAlignment="1">
      <alignment horizontal="center" vertical="center" wrapText="1"/>
    </xf>
    <xf numFmtId="0" fontId="8" fillId="18" borderId="1" xfId="0" applyFont="1" applyFill="1" applyBorder="1" applyAlignment="1">
      <alignment horizontal="left" wrapText="1"/>
    </xf>
    <xf numFmtId="49" fontId="9" fillId="11" borderId="6" xfId="0" applyNumberFormat="1" applyFont="1" applyFill="1" applyBorder="1" applyAlignment="1">
      <alignment horizontal="center" vertical="center" wrapText="1"/>
    </xf>
    <xf numFmtId="4" fontId="47" fillId="11" borderId="6" xfId="0" applyNumberFormat="1" applyFont="1" applyFill="1" applyBorder="1" applyAlignment="1">
      <alignment horizontal="center"/>
    </xf>
    <xf numFmtId="0" fontId="8" fillId="22" borderId="6" xfId="0" applyFont="1" applyFill="1" applyBorder="1" applyAlignment="1">
      <alignment horizontal="right" vertical="center" wrapText="1"/>
    </xf>
    <xf numFmtId="4" fontId="9" fillId="22" borderId="6" xfId="0" applyNumberFormat="1" applyFont="1" applyFill="1" applyBorder="1" applyAlignment="1">
      <alignment horizontal="center" vertical="center"/>
    </xf>
    <xf numFmtId="0" fontId="8" fillId="11" borderId="6" xfId="0" applyFont="1" applyFill="1" applyBorder="1" applyAlignment="1">
      <alignment horizontal="right" vertical="center" wrapText="1"/>
    </xf>
    <xf numFmtId="4" fontId="9" fillId="11" borderId="6" xfId="0" applyNumberFormat="1" applyFont="1" applyFill="1" applyBorder="1" applyAlignment="1">
      <alignment horizontal="center" vertical="center"/>
    </xf>
    <xf numFmtId="0" fontId="8" fillId="24" borderId="6" xfId="0" applyFont="1" applyFill="1" applyBorder="1" applyAlignment="1">
      <alignment wrapText="1"/>
    </xf>
    <xf numFmtId="170" fontId="47" fillId="11" borderId="6" xfId="0" applyNumberFormat="1" applyFont="1" applyFill="1" applyBorder="1" applyAlignment="1">
      <alignment horizontal="center"/>
    </xf>
    <xf numFmtId="4" fontId="47" fillId="11" borderId="6" xfId="0" applyNumberFormat="1" applyFont="1" applyFill="1" applyBorder="1" applyAlignment="1">
      <alignment horizontal="center" vertical="center"/>
    </xf>
    <xf numFmtId="0" fontId="8" fillId="11" borderId="8" xfId="0" applyFont="1" applyFill="1" applyBorder="1" applyAlignment="1">
      <alignment horizontal="left" vertical="center" wrapText="1"/>
    </xf>
    <xf numFmtId="0" fontId="8" fillId="11" borderId="9" xfId="0" applyFont="1" applyFill="1" applyBorder="1" applyAlignment="1">
      <alignment horizontal="left" vertical="center" wrapText="1"/>
    </xf>
    <xf numFmtId="0" fontId="8" fillId="11" borderId="10" xfId="0" applyFont="1" applyFill="1" applyBorder="1" applyAlignment="1">
      <alignment horizontal="left" vertical="center" wrapText="1"/>
    </xf>
    <xf numFmtId="0" fontId="8" fillId="22" borderId="6" xfId="0" applyFont="1" applyFill="1" applyBorder="1" applyAlignment="1">
      <alignment horizontal="center" vertical="center" wrapText="1"/>
    </xf>
    <xf numFmtId="10" fontId="47" fillId="11" borderId="6" xfId="0" applyNumberFormat="1" applyFont="1" applyFill="1" applyBorder="1" applyAlignment="1">
      <alignment horizontal="center"/>
    </xf>
    <xf numFmtId="0" fontId="8" fillId="17" borderId="6" xfId="0" applyFont="1" applyFill="1" applyBorder="1" applyAlignment="1">
      <alignment horizontal="right" vertical="center" wrapText="1"/>
    </xf>
    <xf numFmtId="2" fontId="9" fillId="17" borderId="6" xfId="0" applyNumberFormat="1" applyFont="1" applyFill="1" applyBorder="1" applyAlignment="1">
      <alignment horizontal="center" vertical="center" wrapText="1"/>
    </xf>
    <xf numFmtId="0" fontId="8" fillId="11" borderId="6" xfId="0" applyFont="1" applyFill="1" applyBorder="1" applyAlignment="1">
      <alignment horizontal="left" vertical="center" wrapText="1"/>
    </xf>
    <xf numFmtId="0" fontId="8" fillId="17" borderId="6" xfId="0" applyFont="1" applyFill="1" applyBorder="1" applyAlignment="1">
      <alignment horizontal="left" vertical="center" wrapText="1"/>
    </xf>
    <xf numFmtId="0" fontId="9" fillId="17" borderId="6" xfId="0" applyNumberFormat="1" applyFont="1" applyFill="1" applyBorder="1" applyAlignment="1">
      <alignment horizontal="center" vertical="center"/>
    </xf>
    <xf numFmtId="4" fontId="9" fillId="17" borderId="6" xfId="0" applyNumberFormat="1" applyFont="1" applyFill="1" applyBorder="1" applyAlignment="1">
      <alignment horizontal="center" vertical="center"/>
    </xf>
    <xf numFmtId="0" fontId="8" fillId="23" borderId="6" xfId="0" applyFont="1" applyFill="1" applyBorder="1" applyAlignment="1">
      <alignment horizontal="right" vertical="center" wrapText="1"/>
    </xf>
    <xf numFmtId="2" fontId="9" fillId="23" borderId="6" xfId="0" applyNumberFormat="1" applyFont="1" applyFill="1" applyBorder="1" applyAlignment="1">
      <alignment horizontal="center" vertical="center" wrapText="1"/>
    </xf>
    <xf numFmtId="0" fontId="8" fillId="26" borderId="6" xfId="0" applyFont="1" applyFill="1" applyBorder="1" applyAlignment="1">
      <alignment horizontal="center" vertical="center" wrapText="1"/>
    </xf>
    <xf numFmtId="0" fontId="8" fillId="17" borderId="7" xfId="0" applyFont="1" applyFill="1" applyBorder="1" applyAlignment="1">
      <alignment horizontal="left" vertical="center" wrapText="1"/>
    </xf>
    <xf numFmtId="49" fontId="9" fillId="17" borderId="6" xfId="0" applyNumberFormat="1" applyFont="1" applyFill="1" applyBorder="1" applyAlignment="1">
      <alignment horizontal="center" vertical="center"/>
    </xf>
    <xf numFmtId="4" fontId="9" fillId="17" borderId="7" xfId="0" applyNumberFormat="1" applyFont="1" applyFill="1" applyBorder="1" applyAlignment="1">
      <alignment horizontal="center" vertical="center"/>
    </xf>
    <xf numFmtId="0" fontId="0" fillId="17" borderId="6" xfId="0" applyFont="1" applyFill="1" applyBorder="1" applyAlignment="1">
      <alignment horizontal="left" vertical="center" wrapText="1"/>
    </xf>
    <xf numFmtId="0" fontId="2" fillId="26" borderId="6" xfId="0" applyFont="1" applyFill="1" applyBorder="1" applyAlignment="1">
      <alignment horizontal="center" vertical="center" wrapText="1"/>
    </xf>
    <xf numFmtId="0" fontId="0" fillId="17" borderId="7" xfId="0" applyFont="1" applyFill="1" applyBorder="1" applyAlignment="1">
      <alignment horizontal="left" vertical="center" wrapText="1"/>
    </xf>
    <xf numFmtId="4" fontId="9" fillId="17" borderId="27" xfId="0" applyNumberFormat="1" applyFont="1" applyFill="1" applyBorder="1" applyAlignment="1">
      <alignment horizontal="center" vertical="center"/>
    </xf>
    <xf numFmtId="0" fontId="2" fillId="26" borderId="6" xfId="0" applyFont="1" applyFill="1" applyBorder="1" applyAlignment="1">
      <alignment horizontal="left" vertical="center" wrapText="1"/>
    </xf>
    <xf numFmtId="0" fontId="2" fillId="23" borderId="7" xfId="0" applyFont="1" applyFill="1" applyBorder="1" applyAlignment="1">
      <alignment horizontal="center" vertical="center" wrapText="1"/>
    </xf>
    <xf numFmtId="0" fontId="8" fillId="23" borderId="7" xfId="0" applyFont="1" applyFill="1" applyBorder="1" applyAlignment="1">
      <alignment horizontal="center" vertical="center" wrapText="1"/>
    </xf>
    <xf numFmtId="0" fontId="8" fillId="20" borderId="50" xfId="0" applyFont="1" applyFill="1" applyBorder="1" applyAlignment="1">
      <alignment horizontal="right" vertical="center" wrapText="1"/>
    </xf>
    <xf numFmtId="0" fontId="8" fillId="20" borderId="29" xfId="0" applyFont="1" applyFill="1" applyBorder="1" applyAlignment="1">
      <alignment horizontal="right" vertical="center" wrapText="1"/>
    </xf>
    <xf numFmtId="2" fontId="9" fillId="20" borderId="6" xfId="0" applyNumberFormat="1" applyFont="1" applyFill="1" applyBorder="1" applyAlignment="1">
      <alignment horizontal="center" vertical="center" wrapText="1"/>
    </xf>
    <xf numFmtId="2" fontId="9" fillId="20" borderId="38" xfId="0" applyNumberFormat="1" applyFont="1" applyFill="1" applyBorder="1" applyAlignment="1">
      <alignment horizontal="center" vertical="center" wrapText="1"/>
    </xf>
    <xf numFmtId="0" fontId="8" fillId="21" borderId="41" xfId="0" applyFont="1" applyFill="1" applyBorder="1" applyAlignment="1">
      <alignment horizontal="center"/>
    </xf>
    <xf numFmtId="0" fontId="8" fillId="21" borderId="42" xfId="0" applyFont="1" applyFill="1" applyBorder="1" applyAlignment="1">
      <alignment horizontal="center"/>
    </xf>
    <xf numFmtId="0" fontId="8" fillId="21" borderId="43" xfId="0" applyFont="1" applyFill="1" applyBorder="1" applyAlignment="1">
      <alignment horizontal="center"/>
    </xf>
    <xf numFmtId="0" fontId="8" fillId="17" borderId="5" xfId="0" applyFont="1" applyFill="1" applyBorder="1" applyAlignment="1">
      <alignment horizontal="justify" wrapText="1"/>
    </xf>
    <xf numFmtId="0" fontId="8" fillId="17" borderId="3" xfId="0" applyFont="1" applyFill="1" applyBorder="1" applyAlignment="1">
      <alignment horizontal="justify" wrapText="1"/>
    </xf>
    <xf numFmtId="0" fontId="8" fillId="17" borderId="4" xfId="0" applyFont="1" applyFill="1" applyBorder="1" applyAlignment="1">
      <alignment horizontal="justify" wrapText="1"/>
    </xf>
    <xf numFmtId="0" fontId="0" fillId="13" borderId="37" xfId="0" applyFont="1" applyFill="1" applyBorder="1" applyAlignment="1">
      <alignment horizontal="left" wrapText="1"/>
    </xf>
    <xf numFmtId="0" fontId="0" fillId="13" borderId="6" xfId="0" applyFont="1" applyFill="1" applyBorder="1" applyAlignment="1">
      <alignment horizontal="left" wrapText="1"/>
    </xf>
    <xf numFmtId="0" fontId="9" fillId="13" borderId="6" xfId="0" applyNumberFormat="1" applyFont="1" applyFill="1" applyBorder="1" applyAlignment="1">
      <alignment horizontal="center" vertical="center"/>
    </xf>
    <xf numFmtId="4" fontId="9" fillId="13" borderId="6" xfId="0" applyNumberFormat="1" applyFont="1" applyFill="1" applyBorder="1" applyAlignment="1">
      <alignment horizontal="center" vertical="center" wrapText="1"/>
    </xf>
    <xf numFmtId="2" fontId="9" fillId="13" borderId="6" xfId="0" applyNumberFormat="1" applyFont="1" applyFill="1" applyBorder="1" applyAlignment="1">
      <alignment horizontal="center" vertical="center" wrapText="1"/>
    </xf>
    <xf numFmtId="2" fontId="9" fillId="13" borderId="38" xfId="0" applyNumberFormat="1" applyFont="1" applyFill="1" applyBorder="1" applyAlignment="1">
      <alignment horizontal="center" vertical="center" wrapText="1"/>
    </xf>
    <xf numFmtId="0" fontId="8" fillId="13" borderId="50" xfId="0" applyFont="1" applyFill="1" applyBorder="1" applyAlignment="1">
      <alignment horizontal="right" vertical="center" wrapText="1"/>
    </xf>
    <xf numFmtId="0" fontId="8" fillId="13" borderId="29" xfId="0" applyFont="1" applyFill="1" applyBorder="1" applyAlignment="1">
      <alignment horizontal="right" vertical="center" wrapText="1"/>
    </xf>
    <xf numFmtId="0" fontId="2" fillId="21" borderId="37" xfId="0" applyFont="1" applyFill="1" applyBorder="1" applyAlignment="1">
      <alignment horizontal="left"/>
    </xf>
    <xf numFmtId="0" fontId="2" fillId="21" borderId="6" xfId="0" applyFont="1" applyFill="1" applyBorder="1" applyAlignment="1">
      <alignment horizontal="left"/>
    </xf>
    <xf numFmtId="0" fontId="2" fillId="21" borderId="38" xfId="0" applyFont="1" applyFill="1" applyBorder="1" applyAlignment="1">
      <alignment horizontal="left"/>
    </xf>
    <xf numFmtId="4" fontId="9" fillId="13" borderId="7" xfId="0" applyNumberFormat="1" applyFont="1" applyFill="1" applyBorder="1" applyAlignment="1">
      <alignment horizontal="center" vertical="center"/>
    </xf>
    <xf numFmtId="0" fontId="9" fillId="13" borderId="38" xfId="0" applyNumberFormat="1" applyFont="1" applyFill="1" applyBorder="1" applyAlignment="1">
      <alignment horizontal="center" vertical="center"/>
    </xf>
    <xf numFmtId="0" fontId="9" fillId="13" borderId="6" xfId="0" applyNumberFormat="1" applyFont="1" applyFill="1" applyBorder="1" applyAlignment="1">
      <alignment horizontal="center" vertical="center" wrapText="1"/>
    </xf>
    <xf numFmtId="2" fontId="9" fillId="13" borderId="8" xfId="0" applyNumberFormat="1" applyFont="1" applyFill="1" applyBorder="1" applyAlignment="1">
      <alignment horizontal="center" vertical="center" wrapText="1"/>
    </xf>
    <xf numFmtId="0" fontId="0" fillId="13" borderId="48" xfId="0" applyFont="1" applyFill="1" applyBorder="1" applyAlignment="1">
      <alignment horizontal="left" wrapText="1"/>
    </xf>
    <xf numFmtId="0" fontId="0" fillId="13" borderId="7" xfId="0" applyFont="1" applyFill="1" applyBorder="1" applyAlignment="1">
      <alignment horizontal="left" wrapText="1"/>
    </xf>
    <xf numFmtId="0" fontId="9" fillId="13" borderId="7" xfId="0" applyNumberFormat="1" applyFont="1" applyFill="1" applyBorder="1" applyAlignment="1">
      <alignment horizontal="center" vertical="center"/>
    </xf>
    <xf numFmtId="0" fontId="3" fillId="13" borderId="37" xfId="0" applyFont="1" applyFill="1" applyBorder="1" applyAlignment="1">
      <alignment horizontal="left" wrapText="1"/>
    </xf>
    <xf numFmtId="0" fontId="3" fillId="13" borderId="6" xfId="0" applyFont="1" applyFill="1" applyBorder="1" applyAlignment="1">
      <alignment horizontal="left" wrapText="1"/>
    </xf>
    <xf numFmtId="0" fontId="2" fillId="21" borderId="37" xfId="0" applyFont="1" applyFill="1" applyBorder="1" applyAlignment="1">
      <alignment horizontal="left" wrapText="1"/>
    </xf>
    <xf numFmtId="0" fontId="2" fillId="21" borderId="6" xfId="0" applyFont="1" applyFill="1" applyBorder="1" applyAlignment="1">
      <alignment horizontal="left" wrapText="1"/>
    </xf>
    <xf numFmtId="0" fontId="2" fillId="21" borderId="38" xfId="0" applyFont="1" applyFill="1" applyBorder="1" applyAlignment="1">
      <alignment horizontal="left" wrapText="1"/>
    </xf>
    <xf numFmtId="0" fontId="3" fillId="13" borderId="48" xfId="0" applyFont="1" applyFill="1" applyBorder="1" applyAlignment="1">
      <alignment horizontal="left" wrapText="1"/>
    </xf>
    <xf numFmtId="0" fontId="3" fillId="13" borderId="7" xfId="0" applyFont="1" applyFill="1" applyBorder="1" applyAlignment="1">
      <alignment horizontal="left" wrapText="1"/>
    </xf>
    <xf numFmtId="4" fontId="9" fillId="13" borderId="6" xfId="0" applyNumberFormat="1" applyFont="1" applyFill="1" applyBorder="1" applyAlignment="1">
      <alignment horizontal="center" vertical="center"/>
    </xf>
    <xf numFmtId="0" fontId="8" fillId="13" borderId="37" xfId="0" applyFont="1" applyFill="1" applyBorder="1" applyAlignment="1">
      <alignment horizontal="right" vertical="center" wrapText="1"/>
    </xf>
    <xf numFmtId="0" fontId="8" fillId="13" borderId="6" xfId="0" applyFont="1" applyFill="1" applyBorder="1" applyAlignment="1">
      <alignment horizontal="right" vertical="center" wrapText="1"/>
    </xf>
    <xf numFmtId="0" fontId="8" fillId="13" borderId="1" xfId="0" applyFont="1" applyFill="1" applyBorder="1" applyAlignment="1">
      <alignment horizontal="justify" vertical="center" wrapText="1"/>
    </xf>
    <xf numFmtId="0" fontId="2" fillId="20" borderId="48" xfId="0" applyFont="1" applyFill="1" applyBorder="1" applyAlignment="1">
      <alignment horizontal="center" vertical="center" wrapText="1"/>
    </xf>
    <xf numFmtId="0" fontId="2" fillId="20" borderId="7" xfId="0" applyFont="1" applyFill="1" applyBorder="1" applyAlignment="1">
      <alignment horizontal="center" vertical="center" wrapText="1"/>
    </xf>
    <xf numFmtId="0" fontId="8" fillId="20" borderId="7" xfId="0" applyFont="1" applyFill="1" applyBorder="1" applyAlignment="1">
      <alignment horizontal="center" vertical="center" wrapText="1"/>
    </xf>
    <xf numFmtId="0" fontId="8" fillId="20" borderId="49" xfId="0" applyFont="1" applyFill="1" applyBorder="1" applyAlignment="1">
      <alignment horizontal="center" vertical="center" wrapText="1"/>
    </xf>
    <xf numFmtId="49" fontId="8" fillId="9" borderId="6" xfId="0" applyNumberFormat="1" applyFont="1" applyFill="1" applyBorder="1" applyAlignment="1">
      <alignment horizontal="left" vertical="center" wrapText="1"/>
    </xf>
    <xf numFmtId="0" fontId="12" fillId="0" borderId="0" xfId="0" applyFont="1" applyBorder="1" applyAlignment="1">
      <alignment horizontal="center" vertical="center" wrapText="1"/>
    </xf>
    <xf numFmtId="0" fontId="13" fillId="7" borderId="0" xfId="0" applyFont="1" applyFill="1" applyBorder="1" applyAlignment="1">
      <alignment horizontal="center"/>
    </xf>
    <xf numFmtId="0" fontId="60" fillId="14" borderId="0" xfId="0" applyFont="1" applyFill="1" applyBorder="1" applyAlignment="1">
      <alignment horizontal="left" vertical="center" wrapText="1"/>
    </xf>
    <xf numFmtId="0" fontId="8" fillId="8" borderId="6" xfId="0" applyFont="1" applyFill="1" applyBorder="1" applyAlignment="1">
      <alignment horizontal="right" vertical="center"/>
    </xf>
    <xf numFmtId="0" fontId="0" fillId="9" borderId="6" xfId="0" applyFont="1" applyFill="1" applyBorder="1" applyAlignment="1">
      <alignment horizontal="left" vertical="center" wrapText="1"/>
    </xf>
    <xf numFmtId="49" fontId="0" fillId="9" borderId="6" xfId="0" applyNumberFormat="1" applyFont="1" applyFill="1" applyBorder="1" applyAlignment="1">
      <alignment horizontal="center" vertical="center" wrapText="1"/>
    </xf>
    <xf numFmtId="49" fontId="0" fillId="9" borderId="6" xfId="0" applyNumberFormat="1" applyFont="1" applyFill="1" applyBorder="1" applyAlignment="1">
      <alignment horizontal="left" vertical="center" wrapText="1"/>
    </xf>
    <xf numFmtId="0" fontId="0" fillId="13" borderId="5" xfId="0" applyFill="1" applyBorder="1" applyAlignment="1">
      <alignment horizontal="left"/>
    </xf>
    <xf numFmtId="0" fontId="0" fillId="13" borderId="3" xfId="0" applyFill="1" applyBorder="1" applyAlignment="1">
      <alignment horizontal="left"/>
    </xf>
    <xf numFmtId="0" fontId="0" fillId="13" borderId="4" xfId="0" applyFill="1" applyBorder="1" applyAlignment="1">
      <alignment horizontal="left"/>
    </xf>
    <xf numFmtId="0" fontId="0" fillId="17" borderId="5" xfId="0" applyFill="1" applyBorder="1" applyAlignment="1">
      <alignment horizontal="left"/>
    </xf>
    <xf numFmtId="0" fontId="10" fillId="11" borderId="5" xfId="0" applyFont="1" applyFill="1" applyBorder="1" applyAlignment="1">
      <alignment horizontal="left"/>
    </xf>
    <xf numFmtId="0" fontId="59" fillId="15" borderId="1" xfId="0" applyFont="1" applyFill="1" applyBorder="1" applyAlignment="1">
      <alignment horizontal="center" wrapText="1"/>
    </xf>
    <xf numFmtId="49" fontId="13" fillId="9" borderId="6" xfId="0" applyNumberFormat="1" applyFont="1" applyFill="1" applyBorder="1" applyAlignment="1">
      <alignment horizontal="center" vertical="center" wrapText="1"/>
    </xf>
    <xf numFmtId="0" fontId="8" fillId="9" borderId="6" xfId="0" applyFont="1" applyFill="1" applyBorder="1" applyAlignment="1">
      <alignment horizontal="center" vertical="center" wrapText="1"/>
    </xf>
    <xf numFmtId="49" fontId="8" fillId="9" borderId="6" xfId="0" applyNumberFormat="1" applyFont="1" applyFill="1" applyBorder="1" applyAlignment="1">
      <alignment horizontal="right" vertical="center" wrapText="1"/>
    </xf>
    <xf numFmtId="49" fontId="26" fillId="9" borderId="6" xfId="0" applyNumberFormat="1" applyFont="1" applyFill="1" applyBorder="1" applyAlignment="1">
      <alignment horizontal="justify" vertical="center" wrapText="1"/>
    </xf>
    <xf numFmtId="49" fontId="8" fillId="9" borderId="6" xfId="0" applyNumberFormat="1" applyFont="1" applyFill="1" applyBorder="1" applyAlignment="1">
      <alignment horizontal="center" vertical="center" wrapText="1"/>
    </xf>
    <xf numFmtId="0" fontId="8" fillId="0" borderId="9" xfId="0" applyFont="1" applyBorder="1" applyAlignment="1">
      <alignment horizontal="left" vertical="center" wrapText="1"/>
    </xf>
    <xf numFmtId="49" fontId="8" fillId="7" borderId="8" xfId="0" applyNumberFormat="1" applyFont="1" applyFill="1" applyBorder="1" applyAlignment="1">
      <alignment horizontal="right" vertical="center" wrapText="1"/>
    </xf>
    <xf numFmtId="0" fontId="12" fillId="7" borderId="8" xfId="0" applyFont="1" applyFill="1" applyBorder="1" applyAlignment="1">
      <alignment horizontal="left" vertical="center" wrapText="1"/>
    </xf>
    <xf numFmtId="0" fontId="11" fillId="8" borderId="8" xfId="0" applyFont="1" applyFill="1" applyBorder="1" applyAlignment="1">
      <alignment vertical="center"/>
    </xf>
    <xf numFmtId="0" fontId="0" fillId="0" borderId="6" xfId="0" applyFont="1" applyFill="1" applyBorder="1" applyAlignment="1">
      <alignment horizontal="left" vertical="center" wrapText="1"/>
    </xf>
    <xf numFmtId="49" fontId="13" fillId="0" borderId="6" xfId="0" applyNumberFormat="1" applyFont="1" applyBorder="1" applyAlignment="1">
      <alignment horizontal="center" vertical="center" wrapText="1"/>
    </xf>
    <xf numFmtId="0" fontId="9" fillId="0" borderId="6" xfId="0" applyFont="1" applyFill="1" applyBorder="1" applyAlignment="1">
      <alignment horizontal="left" vertical="center" wrapText="1"/>
    </xf>
    <xf numFmtId="0" fontId="9" fillId="0" borderId="30" xfId="0" applyFont="1" applyFill="1" applyBorder="1" applyAlignment="1">
      <alignment horizontal="center" vertical="center"/>
    </xf>
    <xf numFmtId="0" fontId="6" fillId="0" borderId="31" xfId="0" applyFont="1" applyFill="1" applyBorder="1" applyAlignment="1">
      <alignment horizontal="left" vertical="center"/>
    </xf>
    <xf numFmtId="0" fontId="0" fillId="0" borderId="8" xfId="0" applyFont="1" applyFill="1" applyBorder="1" applyAlignment="1">
      <alignment horizontal="left" vertical="center" wrapText="1"/>
    </xf>
    <xf numFmtId="0" fontId="8" fillId="0" borderId="8"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8" fillId="7" borderId="6" xfId="0" applyFont="1" applyFill="1" applyBorder="1" applyAlignment="1">
      <alignment horizontal="right" vertical="center"/>
    </xf>
    <xf numFmtId="0" fontId="8" fillId="0" borderId="6" xfId="0" applyFont="1" applyBorder="1" applyAlignment="1">
      <alignment horizontal="left" vertical="center"/>
    </xf>
    <xf numFmtId="0" fontId="9" fillId="0" borderId="6" xfId="0" applyFont="1" applyFill="1" applyBorder="1" applyAlignment="1">
      <alignment horizontal="justify" vertical="center" wrapText="1"/>
    </xf>
    <xf numFmtId="0" fontId="12" fillId="0" borderId="6" xfId="0" applyFont="1" applyBorder="1" applyAlignment="1">
      <alignment horizontal="left" vertical="center"/>
    </xf>
    <xf numFmtId="0" fontId="8" fillId="0" borderId="6" xfId="0" applyFont="1" applyFill="1" applyBorder="1" applyAlignment="1">
      <alignment horizontal="center" vertical="center"/>
    </xf>
    <xf numFmtId="0" fontId="12" fillId="7" borderId="6" xfId="0" applyFont="1" applyFill="1" applyBorder="1" applyAlignment="1">
      <alignment horizontal="left" vertical="center"/>
    </xf>
    <xf numFmtId="0" fontId="8" fillId="0" borderId="6" xfId="0" applyFont="1" applyBorder="1" applyAlignment="1">
      <alignment horizontal="left" vertical="center" wrapText="1"/>
    </xf>
    <xf numFmtId="0" fontId="12" fillId="7" borderId="6" xfId="0" applyFont="1" applyFill="1" applyBorder="1" applyAlignment="1">
      <alignment horizontal="left" vertical="center" wrapText="1"/>
    </xf>
    <xf numFmtId="0" fontId="2" fillId="0" borderId="6" xfId="0" applyFont="1" applyBorder="1" applyAlignment="1">
      <alignment horizontal="left" vertical="center"/>
    </xf>
    <xf numFmtId="0" fontId="12" fillId="0" borderId="6" xfId="0" applyFont="1" applyFill="1" applyBorder="1" applyAlignment="1">
      <alignment horizontal="center" vertical="center"/>
    </xf>
    <xf numFmtId="0" fontId="8" fillId="0" borderId="6" xfId="0" applyFont="1" applyFill="1" applyBorder="1" applyAlignment="1">
      <alignment horizontal="left" vertical="center"/>
    </xf>
    <xf numFmtId="0" fontId="8" fillId="0" borderId="9"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12" fillId="0" borderId="6" xfId="0" applyFont="1" applyFill="1" applyBorder="1" applyAlignment="1">
      <alignment horizontal="center" vertical="center" wrapText="1"/>
    </xf>
    <xf numFmtId="0" fontId="8" fillId="0" borderId="6" xfId="0" applyFont="1" applyFill="1" applyBorder="1" applyAlignment="1">
      <alignment horizontal="left" vertical="center" wrapText="1"/>
    </xf>
    <xf numFmtId="0" fontId="8" fillId="0" borderId="6" xfId="0" applyFont="1" applyFill="1" applyBorder="1" applyAlignment="1">
      <alignment horizontal="justify" vertical="center" wrapText="1"/>
    </xf>
    <xf numFmtId="0" fontId="48" fillId="0" borderId="8" xfId="0" applyFont="1" applyFill="1" applyBorder="1" applyAlignment="1">
      <alignment horizontal="left" vertical="justify" wrapText="1"/>
    </xf>
    <xf numFmtId="0" fontId="48" fillId="0" borderId="9" xfId="0" applyFont="1" applyFill="1" applyBorder="1" applyAlignment="1">
      <alignment horizontal="left" vertical="justify"/>
    </xf>
    <xf numFmtId="0" fontId="48" fillId="0" borderId="10" xfId="0" applyFont="1" applyFill="1" applyBorder="1" applyAlignment="1">
      <alignment horizontal="left" vertical="justify"/>
    </xf>
    <xf numFmtId="0" fontId="8" fillId="0" borderId="32" xfId="0" applyFont="1" applyFill="1" applyBorder="1" applyAlignment="1">
      <alignment horizontal="left" vertical="center" wrapText="1"/>
    </xf>
    <xf numFmtId="0" fontId="8" fillId="0" borderId="33" xfId="0" applyFont="1" applyFill="1" applyBorder="1" applyAlignment="1">
      <alignment horizontal="left" vertical="center" wrapText="1"/>
    </xf>
    <xf numFmtId="0" fontId="8" fillId="8" borderId="6" xfId="0" applyFont="1" applyFill="1" applyBorder="1" applyAlignment="1">
      <alignment horizontal="center" vertical="center" wrapText="1"/>
    </xf>
    <xf numFmtId="0" fontId="2" fillId="0" borderId="6" xfId="0" applyFont="1" applyFill="1" applyBorder="1" applyAlignment="1">
      <alignment horizontal="left" vertical="center" wrapText="1"/>
    </xf>
    <xf numFmtId="0" fontId="8" fillId="8" borderId="6" xfId="0" applyFont="1" applyFill="1" applyBorder="1" applyAlignment="1">
      <alignment horizontal="center" vertical="center"/>
    </xf>
    <xf numFmtId="0" fontId="8" fillId="0" borderId="6" xfId="0" applyFont="1" applyBorder="1" applyAlignment="1">
      <alignment horizontal="justify" vertical="center" wrapText="1"/>
    </xf>
    <xf numFmtId="0" fontId="21" fillId="8" borderId="6" xfId="0" applyFont="1" applyFill="1" applyBorder="1" applyAlignment="1">
      <alignment horizontal="center" vertical="center"/>
    </xf>
    <xf numFmtId="0" fontId="0" fillId="0" borderId="6" xfId="0" applyFont="1" applyFill="1" applyBorder="1" applyAlignment="1">
      <alignment horizontal="left" vertical="center"/>
    </xf>
    <xf numFmtId="0" fontId="8" fillId="0" borderId="6" xfId="0" applyFont="1" applyFill="1" applyBorder="1" applyAlignment="1">
      <alignment vertical="center" wrapText="1"/>
    </xf>
    <xf numFmtId="0" fontId="8" fillId="0" borderId="6" xfId="0" applyFont="1" applyFill="1" applyBorder="1" applyAlignment="1">
      <alignment horizontal="center" vertical="center" wrapText="1"/>
    </xf>
    <xf numFmtId="0" fontId="8" fillId="0" borderId="8" xfId="0" applyFont="1" applyBorder="1" applyAlignment="1">
      <alignment horizontal="left" vertical="center"/>
    </xf>
    <xf numFmtId="0" fontId="8" fillId="7" borderId="8" xfId="0" applyFont="1" applyFill="1" applyBorder="1" applyAlignment="1">
      <alignment horizontal="right" vertical="center"/>
    </xf>
    <xf numFmtId="0" fontId="8" fillId="0" borderId="8" xfId="0" applyFont="1" applyBorder="1" applyAlignment="1">
      <alignment horizontal="left" vertical="center" wrapText="1"/>
    </xf>
    <xf numFmtId="0" fontId="8" fillId="0" borderId="10" xfId="0" applyFont="1" applyBorder="1" applyAlignment="1">
      <alignment horizontal="left" vertical="center" wrapText="1"/>
    </xf>
    <xf numFmtId="0" fontId="2" fillId="0" borderId="8" xfId="0" applyFont="1" applyBorder="1" applyAlignment="1">
      <alignment horizontal="left" vertical="center" wrapText="1"/>
    </xf>
    <xf numFmtId="0" fontId="2" fillId="0" borderId="6" xfId="0" applyFont="1" applyBorder="1" applyAlignment="1">
      <alignment horizontal="left" vertical="center" wrapText="1"/>
    </xf>
    <xf numFmtId="0" fontId="8" fillId="7" borderId="6" xfId="0" applyFont="1" applyFill="1" applyBorder="1" applyAlignment="1">
      <alignment horizontal="right" vertical="center" wrapText="1"/>
    </xf>
    <xf numFmtId="0" fontId="12" fillId="7" borderId="25" xfId="0" applyFont="1" applyFill="1" applyBorder="1" applyAlignment="1">
      <alignment horizontal="left" vertical="center" wrapText="1"/>
    </xf>
    <xf numFmtId="0" fontId="8" fillId="0" borderId="10" xfId="0" applyFont="1" applyBorder="1" applyAlignment="1" applyProtection="1">
      <alignment horizontal="justify" vertical="center" wrapText="1"/>
      <protection locked="0"/>
    </xf>
    <xf numFmtId="0" fontId="0" fillId="8" borderId="6" xfId="0" applyFont="1" applyFill="1" applyBorder="1" applyAlignment="1">
      <alignment horizontal="center" vertical="center"/>
    </xf>
    <xf numFmtId="0" fontId="8" fillId="8" borderId="6" xfId="0" applyFont="1" applyFill="1" applyBorder="1" applyAlignment="1">
      <alignment horizontal="left" wrapText="1"/>
    </xf>
    <xf numFmtId="14" fontId="14" fillId="0" borderId="6" xfId="0" applyNumberFormat="1" applyFont="1" applyFill="1" applyBorder="1" applyAlignment="1">
      <alignment horizontal="right" vertical="center" wrapText="1"/>
    </xf>
    <xf numFmtId="14" fontId="38" fillId="0" borderId="6" xfId="0" applyNumberFormat="1" applyFont="1" applyFill="1" applyBorder="1" applyAlignment="1">
      <alignment horizontal="right" vertical="center" wrapText="1"/>
    </xf>
    <xf numFmtId="169" fontId="9" fillId="0" borderId="6" xfId="0" applyNumberFormat="1" applyFont="1" applyFill="1" applyBorder="1" applyAlignment="1">
      <alignment horizontal="right" vertical="center"/>
    </xf>
    <xf numFmtId="0" fontId="46" fillId="0" borderId="9" xfId="0" applyFont="1" applyBorder="1" applyAlignment="1">
      <alignment horizontal="right" vertical="center" wrapText="1"/>
    </xf>
    <xf numFmtId="0" fontId="0" fillId="0" borderId="6" xfId="0" applyFont="1" applyFill="1" applyBorder="1" applyAlignment="1">
      <alignment horizontal="justify" vertical="center" wrapText="1"/>
    </xf>
    <xf numFmtId="0" fontId="0" fillId="8" borderId="6" xfId="0" applyFont="1" applyFill="1" applyBorder="1" applyAlignment="1">
      <alignment horizontal="center" vertical="center" wrapText="1"/>
    </xf>
    <xf numFmtId="0" fontId="9" fillId="7" borderId="6" xfId="0" applyFont="1" applyFill="1" applyBorder="1" applyAlignment="1">
      <alignment horizontal="right" vertical="center" wrapText="1"/>
    </xf>
    <xf numFmtId="4" fontId="9" fillId="7" borderId="6" xfId="3" applyNumberFormat="1" applyFont="1" applyFill="1" applyBorder="1" applyAlignment="1" applyProtection="1">
      <alignment horizontal="right" vertical="center"/>
    </xf>
    <xf numFmtId="0" fontId="9" fillId="7" borderId="7" xfId="0" applyFont="1" applyFill="1" applyBorder="1" applyAlignment="1">
      <alignment horizontal="right" vertical="center" wrapText="1"/>
    </xf>
    <xf numFmtId="0" fontId="0" fillId="0" borderId="6" xfId="0" applyFont="1" applyBorder="1" applyAlignment="1">
      <alignment horizontal="left" vertical="center"/>
    </xf>
    <xf numFmtId="0" fontId="0" fillId="0" borderId="6" xfId="0" applyFont="1" applyBorder="1" applyAlignment="1">
      <alignment horizontal="center" vertical="center"/>
    </xf>
    <xf numFmtId="4" fontId="0" fillId="0" borderId="6" xfId="0" applyNumberFormat="1" applyFont="1" applyBorder="1" applyAlignment="1">
      <alignment horizontal="right" vertical="center" wrapText="1"/>
    </xf>
    <xf numFmtId="0" fontId="9" fillId="7" borderId="6" xfId="0" applyFont="1" applyFill="1" applyBorder="1" applyAlignment="1">
      <alignment horizontal="right" vertical="center"/>
    </xf>
    <xf numFmtId="0" fontId="0" fillId="0" borderId="6" xfId="0" applyFont="1" applyBorder="1" applyAlignment="1">
      <alignment horizontal="center" vertical="center" wrapText="1"/>
    </xf>
    <xf numFmtId="0" fontId="0" fillId="0" borderId="6" xfId="0" applyFont="1" applyBorder="1" applyAlignment="1">
      <alignment horizontal="left" vertical="center" wrapText="1"/>
    </xf>
    <xf numFmtId="0" fontId="10" fillId="0" borderId="6" xfId="0" applyFont="1" applyBorder="1" applyAlignment="1">
      <alignment horizontal="left" vertical="center" wrapText="1"/>
    </xf>
    <xf numFmtId="0" fontId="0" fillId="0" borderId="8" xfId="0" applyFont="1" applyBorder="1" applyAlignment="1">
      <alignment horizontal="center" vertical="center" wrapText="1"/>
    </xf>
    <xf numFmtId="0" fontId="0" fillId="0" borderId="10" xfId="0" applyFont="1" applyBorder="1" applyAlignment="1">
      <alignment horizontal="center" vertical="center" wrapText="1"/>
    </xf>
    <xf numFmtId="2" fontId="8" fillId="0" borderId="6" xfId="0" applyNumberFormat="1" applyFont="1" applyBorder="1" applyAlignment="1">
      <alignment horizontal="right" vertical="center" wrapText="1"/>
    </xf>
    <xf numFmtId="0" fontId="12" fillId="0" borderId="6" xfId="0" applyFont="1" applyFill="1" applyBorder="1" applyAlignment="1">
      <alignment horizontal="left" vertical="center" wrapText="1"/>
    </xf>
    <xf numFmtId="0" fontId="8" fillId="7" borderId="8" xfId="0" applyFont="1" applyFill="1" applyBorder="1" applyAlignment="1">
      <alignment horizontal="center" vertical="center" wrapText="1"/>
    </xf>
    <xf numFmtId="0" fontId="8" fillId="7" borderId="6" xfId="0" applyNumberFormat="1" applyFont="1" applyFill="1" applyBorder="1" applyAlignment="1">
      <alignment horizontal="center" vertical="center" wrapText="1"/>
    </xf>
    <xf numFmtId="0" fontId="7" fillId="14" borderId="14" xfId="0" applyFont="1" applyFill="1" applyBorder="1" applyAlignment="1">
      <alignment horizontal="center" vertical="center" wrapText="1"/>
    </xf>
    <xf numFmtId="0" fontId="7" fillId="14" borderId="0" xfId="0" applyFont="1" applyFill="1" applyBorder="1" applyAlignment="1">
      <alignment horizontal="center" vertical="center" wrapText="1"/>
    </xf>
    <xf numFmtId="0" fontId="7" fillId="14" borderId="44" xfId="0" applyFont="1" applyFill="1" applyBorder="1" applyAlignment="1">
      <alignment horizontal="center" vertical="center" wrapText="1"/>
    </xf>
    <xf numFmtId="0" fontId="62" fillId="0" borderId="11" xfId="0" applyFont="1" applyFill="1" applyBorder="1" applyAlignment="1">
      <alignment horizontal="left" vertical="center" wrapText="1"/>
    </xf>
    <xf numFmtId="0" fontId="59" fillId="15" borderId="1" xfId="0" applyFont="1" applyFill="1" applyBorder="1" applyAlignment="1">
      <alignment horizontal="center"/>
    </xf>
    <xf numFmtId="0" fontId="10" fillId="18" borderId="5" xfId="0" applyFont="1" applyFill="1" applyBorder="1" applyAlignment="1">
      <alignment horizontal="left"/>
    </xf>
    <xf numFmtId="0" fontId="10" fillId="19" borderId="5" xfId="0" applyFont="1" applyFill="1" applyBorder="1" applyAlignment="1">
      <alignment horizontal="left"/>
    </xf>
    <xf numFmtId="0" fontId="63" fillId="14" borderId="15" xfId="0" applyFont="1" applyFill="1" applyBorder="1" applyAlignment="1">
      <alignment horizontal="center" vertical="center" wrapText="1"/>
    </xf>
    <xf numFmtId="0" fontId="63" fillId="14" borderId="16" xfId="0" applyFont="1" applyFill="1" applyBorder="1" applyAlignment="1">
      <alignment horizontal="center" vertical="center" wrapText="1"/>
    </xf>
    <xf numFmtId="0" fontId="63" fillId="14" borderId="17" xfId="0" applyFont="1" applyFill="1" applyBorder="1" applyAlignment="1">
      <alignment horizontal="center" vertical="center" wrapText="1"/>
    </xf>
    <xf numFmtId="14" fontId="9" fillId="0" borderId="6" xfId="0" applyNumberFormat="1" applyFont="1" applyBorder="1" applyAlignment="1">
      <alignment horizontal="center" vertical="center" wrapText="1"/>
    </xf>
    <xf numFmtId="0" fontId="9" fillId="0" borderId="6" xfId="0" applyFont="1" applyBorder="1" applyAlignment="1">
      <alignment horizontal="center" vertical="center" wrapText="1"/>
    </xf>
    <xf numFmtId="0" fontId="12" fillId="7" borderId="6" xfId="0" applyFont="1" applyFill="1" applyBorder="1" applyAlignment="1">
      <alignment horizontal="center" vertical="center" wrapText="1"/>
    </xf>
    <xf numFmtId="0" fontId="8" fillId="0" borderId="45" xfId="0" applyFont="1" applyBorder="1" applyAlignment="1">
      <alignment horizontal="left" vertical="center" wrapText="1"/>
    </xf>
    <xf numFmtId="0" fontId="8" fillId="0" borderId="46" xfId="0" applyFont="1" applyBorder="1" applyAlignment="1">
      <alignment horizontal="left" vertical="center" wrapText="1"/>
    </xf>
    <xf numFmtId="0" fontId="9" fillId="0" borderId="46" xfId="0" applyFont="1" applyBorder="1" applyAlignment="1">
      <alignment horizontal="left" vertical="center" wrapText="1"/>
    </xf>
    <xf numFmtId="0" fontId="9" fillId="0" borderId="47" xfId="0" applyFont="1" applyBorder="1" applyAlignment="1">
      <alignment horizontal="left" vertical="center" wrapText="1"/>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2" fontId="9" fillId="0" borderId="3" xfId="0" applyNumberFormat="1" applyFont="1" applyBorder="1" applyAlignment="1">
      <alignment horizontal="center" vertical="center"/>
    </xf>
    <xf numFmtId="2" fontId="0" fillId="0" borderId="4" xfId="0" applyNumberFormat="1" applyBorder="1" applyAlignment="1">
      <alignment vertical="center"/>
    </xf>
    <xf numFmtId="2" fontId="9" fillId="0" borderId="2" xfId="0" applyNumberFormat="1" applyFont="1" applyFill="1" applyBorder="1" applyAlignment="1">
      <alignment horizontal="center" vertical="center"/>
    </xf>
    <xf numFmtId="2" fontId="9" fillId="0" borderId="2" xfId="0" applyNumberFormat="1" applyFont="1" applyBorder="1" applyAlignment="1">
      <alignment horizontal="center" vertical="center"/>
    </xf>
    <xf numFmtId="0" fontId="32" fillId="0" borderId="1" xfId="0" applyNumberFormat="1" applyFont="1" applyBorder="1" applyAlignment="1">
      <alignment horizontal="center" vertical="center"/>
    </xf>
    <xf numFmtId="2" fontId="9" fillId="0" borderId="1" xfId="0" applyNumberFormat="1" applyFont="1" applyBorder="1" applyAlignment="1">
      <alignment horizontal="center" vertical="center"/>
    </xf>
    <xf numFmtId="2" fontId="0" fillId="0" borderId="1" xfId="0" applyNumberFormat="1" applyBorder="1" applyAlignment="1">
      <alignment vertical="center"/>
    </xf>
    <xf numFmtId="2" fontId="8" fillId="0" borderId="4" xfId="0" applyNumberFormat="1" applyFont="1" applyBorder="1" applyAlignment="1">
      <alignment horizontal="center" vertical="center" wrapText="1"/>
    </xf>
    <xf numFmtId="0" fontId="0" fillId="7" borderId="6" xfId="0" applyFont="1" applyFill="1" applyBorder="1" applyAlignment="1">
      <alignment horizontal="center" vertical="center"/>
    </xf>
    <xf numFmtId="4" fontId="11" fillId="7" borderId="6" xfId="0" applyNumberFormat="1" applyFont="1" applyFill="1" applyBorder="1" applyAlignment="1">
      <alignment horizontal="right" vertical="center" wrapText="1"/>
    </xf>
    <xf numFmtId="0" fontId="10" fillId="0" borderId="6" xfId="0" applyFont="1" applyFill="1" applyBorder="1" applyAlignment="1">
      <alignment horizontal="left" vertical="center"/>
    </xf>
    <xf numFmtId="0" fontId="0" fillId="0" borderId="6" xfId="0" applyFill="1" applyBorder="1" applyAlignment="1">
      <alignment horizontal="left" vertical="center" wrapText="1"/>
    </xf>
    <xf numFmtId="0" fontId="8" fillId="0" borderId="0" xfId="0" applyFont="1" applyBorder="1" applyAlignment="1">
      <alignment horizontal="left" vertical="center" wrapText="1"/>
    </xf>
    <xf numFmtId="0" fontId="8" fillId="0" borderId="0" xfId="0" applyFont="1" applyBorder="1" applyAlignment="1">
      <alignment horizontal="justify" vertical="center" wrapText="1"/>
    </xf>
    <xf numFmtId="0" fontId="2" fillId="7" borderId="6" xfId="0" applyFont="1" applyFill="1" applyBorder="1" applyAlignment="1">
      <alignment horizontal="center" vertical="center" wrapText="1"/>
    </xf>
    <xf numFmtId="0" fontId="0" fillId="0" borderId="6" xfId="0" applyFont="1" applyBorder="1" applyAlignment="1">
      <alignment horizontal="left" wrapText="1"/>
    </xf>
    <xf numFmtId="0" fontId="9" fillId="0" borderId="6" xfId="0" applyNumberFormat="1" applyFont="1" applyFill="1" applyBorder="1" applyAlignment="1">
      <alignment horizontal="center" vertical="center"/>
    </xf>
    <xf numFmtId="4" fontId="9" fillId="0" borderId="6" xfId="0" applyNumberFormat="1" applyFont="1" applyBorder="1" applyAlignment="1">
      <alignment horizontal="center" vertical="center"/>
    </xf>
    <xf numFmtId="0" fontId="9" fillId="0" borderId="6" xfId="0" applyNumberFormat="1" applyFont="1" applyBorder="1" applyAlignment="1">
      <alignment horizontal="center" vertical="center"/>
    </xf>
    <xf numFmtId="4" fontId="9" fillId="0" borderId="6" xfId="0" applyNumberFormat="1" applyFont="1" applyBorder="1" applyAlignment="1">
      <alignment horizontal="center" vertical="center" wrapText="1"/>
    </xf>
    <xf numFmtId="2" fontId="9" fillId="0" borderId="6" xfId="0" applyNumberFormat="1" applyFont="1" applyBorder="1" applyAlignment="1">
      <alignment horizontal="center" vertical="center" wrapText="1"/>
    </xf>
    <xf numFmtId="0" fontId="8" fillId="0" borderId="6" xfId="0" applyFont="1" applyBorder="1" applyAlignment="1">
      <alignment horizontal="right" vertical="center" wrapText="1"/>
    </xf>
    <xf numFmtId="0" fontId="2" fillId="8" borderId="6" xfId="0" applyFont="1" applyFill="1" applyBorder="1" applyAlignment="1">
      <alignment horizontal="left" wrapText="1"/>
    </xf>
    <xf numFmtId="0" fontId="0" fillId="0" borderId="7" xfId="0" applyFont="1" applyBorder="1" applyAlignment="1">
      <alignment horizontal="left" wrapText="1"/>
    </xf>
    <xf numFmtId="0" fontId="9" fillId="0" borderId="7" xfId="0" applyNumberFormat="1" applyFont="1" applyFill="1" applyBorder="1" applyAlignment="1">
      <alignment horizontal="center" vertical="center"/>
    </xf>
    <xf numFmtId="4" fontId="9" fillId="0" borderId="7" xfId="0" applyNumberFormat="1" applyFont="1" applyBorder="1" applyAlignment="1">
      <alignment horizontal="center" vertical="center"/>
    </xf>
    <xf numFmtId="2" fontId="9" fillId="0" borderId="6" xfId="0" applyNumberFormat="1" applyFont="1" applyBorder="1" applyAlignment="1">
      <alignment horizontal="center" vertical="center"/>
    </xf>
    <xf numFmtId="0" fontId="8" fillId="0" borderId="29" xfId="0" applyFont="1" applyBorder="1" applyAlignment="1">
      <alignment horizontal="right" vertical="center" wrapText="1"/>
    </xf>
    <xf numFmtId="0" fontId="9" fillId="0" borderId="7" xfId="0" applyNumberFormat="1" applyFont="1" applyBorder="1" applyAlignment="1">
      <alignment horizontal="center" vertical="center"/>
    </xf>
    <xf numFmtId="0" fontId="9" fillId="0" borderId="6" xfId="0" applyNumberFormat="1" applyFont="1" applyBorder="1" applyAlignment="1">
      <alignment horizontal="center" vertical="center" wrapText="1"/>
    </xf>
    <xf numFmtId="0" fontId="3" fillId="0" borderId="7" xfId="0" applyFont="1" applyBorder="1" applyAlignment="1">
      <alignment horizontal="left" wrapText="1"/>
    </xf>
    <xf numFmtId="0" fontId="3" fillId="0" borderId="6" xfId="0" applyFont="1" applyBorder="1" applyAlignment="1">
      <alignment horizontal="left" wrapText="1"/>
    </xf>
    <xf numFmtId="2" fontId="9" fillId="0" borderId="8" xfId="0" applyNumberFormat="1" applyFont="1" applyBorder="1" applyAlignment="1">
      <alignment horizontal="center" vertical="center" wrapText="1"/>
    </xf>
    <xf numFmtId="0" fontId="2" fillId="8" borderId="6" xfId="0" applyFont="1" applyFill="1" applyBorder="1" applyAlignment="1">
      <alignment horizontal="left"/>
    </xf>
    <xf numFmtId="0" fontId="8" fillId="7" borderId="29" xfId="0" applyFont="1" applyFill="1" applyBorder="1" applyAlignment="1">
      <alignment horizontal="right" vertical="center" wrapText="1"/>
    </xf>
    <xf numFmtId="2" fontId="9" fillId="7" borderId="6" xfId="0" applyNumberFormat="1" applyFont="1" applyFill="1" applyBorder="1" applyAlignment="1">
      <alignment horizontal="center" vertical="center" wrapText="1"/>
    </xf>
    <xf numFmtId="0" fontId="8" fillId="0" borderId="9" xfId="0" applyFont="1" applyBorder="1" applyAlignment="1">
      <alignment horizontal="justify" wrapText="1"/>
    </xf>
    <xf numFmtId="49" fontId="9" fillId="0" borderId="6" xfId="0" applyNumberFormat="1" applyFont="1" applyBorder="1" applyAlignment="1">
      <alignment horizontal="center" vertical="center"/>
    </xf>
    <xf numFmtId="4" fontId="9" fillId="0" borderId="28" xfId="0" applyNumberFormat="1" applyFont="1" applyBorder="1" applyAlignment="1">
      <alignment horizontal="center" vertical="center"/>
    </xf>
    <xf numFmtId="0" fontId="2" fillId="8" borderId="6" xfId="0" applyFont="1" applyFill="1" applyBorder="1" applyAlignment="1">
      <alignment horizontal="left" vertical="center" wrapText="1"/>
    </xf>
    <xf numFmtId="0" fontId="0" fillId="0" borderId="7" xfId="0" applyFont="1" applyBorder="1" applyAlignment="1">
      <alignment horizontal="left" vertical="center" wrapText="1"/>
    </xf>
    <xf numFmtId="49" fontId="9" fillId="0" borderId="7" xfId="0" applyNumberFormat="1" applyFont="1" applyBorder="1" applyAlignment="1">
      <alignment horizontal="center" vertical="center"/>
    </xf>
    <xf numFmtId="4" fontId="9" fillId="0" borderId="27" xfId="0" applyNumberFormat="1" applyFont="1" applyBorder="1" applyAlignment="1">
      <alignment horizontal="center" vertical="center"/>
    </xf>
    <xf numFmtId="0" fontId="2" fillId="8" borderId="6" xfId="0" applyFont="1" applyFill="1" applyBorder="1" applyAlignment="1">
      <alignment horizontal="center" vertical="center" wrapText="1"/>
    </xf>
    <xf numFmtId="4" fontId="9" fillId="0" borderId="6" xfId="0" applyNumberFormat="1" applyFont="1" applyFill="1" applyBorder="1" applyAlignment="1">
      <alignment horizontal="center" vertical="center"/>
    </xf>
    <xf numFmtId="49" fontId="9" fillId="0" borderId="6" xfId="0" applyNumberFormat="1" applyFont="1" applyFill="1" applyBorder="1" applyAlignment="1">
      <alignment horizontal="center" vertical="center" wrapText="1"/>
    </xf>
    <xf numFmtId="0" fontId="8" fillId="8" borderId="6" xfId="0" applyFont="1" applyFill="1" applyBorder="1" applyAlignment="1">
      <alignment wrapText="1"/>
    </xf>
    <xf numFmtId="4" fontId="9" fillId="7" borderId="6" xfId="0" applyNumberFormat="1" applyFont="1" applyFill="1" applyBorder="1" applyAlignment="1">
      <alignment horizontal="center" vertical="center"/>
    </xf>
    <xf numFmtId="0" fontId="0" fillId="7" borderId="6" xfId="0" applyFont="1" applyFill="1" applyBorder="1" applyAlignment="1">
      <alignment horizontal="center" vertical="center" wrapText="1"/>
    </xf>
    <xf numFmtId="10" fontId="9" fillId="0" borderId="6" xfId="0" applyNumberFormat="1" applyFont="1" applyBorder="1" applyAlignment="1">
      <alignment horizontal="center"/>
    </xf>
    <xf numFmtId="4" fontId="9" fillId="0" borderId="6" xfId="0" applyNumberFormat="1" applyFont="1" applyBorder="1" applyAlignment="1">
      <alignment horizontal="center"/>
    </xf>
    <xf numFmtId="170" fontId="9" fillId="0" borderId="6" xfId="0" applyNumberFormat="1" applyFont="1" applyBorder="1" applyAlignment="1">
      <alignment horizontal="center"/>
    </xf>
    <xf numFmtId="0" fontId="8" fillId="0" borderId="31" xfId="0" applyFont="1" applyBorder="1" applyAlignment="1">
      <alignment horizontal="left"/>
    </xf>
    <xf numFmtId="0" fontId="0" fillId="0" borderId="6" xfId="0" applyFont="1" applyBorder="1" applyAlignment="1"/>
    <xf numFmtId="0" fontId="9" fillId="0" borderId="8" xfId="0" applyFont="1" applyBorder="1" applyAlignment="1">
      <alignment horizontal="center" wrapText="1"/>
    </xf>
    <xf numFmtId="2" fontId="9" fillId="0" borderId="6" xfId="0" applyNumberFormat="1" applyFont="1" applyBorder="1" applyAlignment="1">
      <alignment horizontal="center"/>
    </xf>
    <xf numFmtId="0" fontId="9" fillId="0" borderId="8" xfId="0" applyFont="1" applyBorder="1" applyAlignment="1">
      <alignment horizontal="center"/>
    </xf>
    <xf numFmtId="4" fontId="9" fillId="0" borderId="6" xfId="0" applyNumberFormat="1" applyFont="1" applyBorder="1" applyAlignment="1">
      <alignment horizontal="center" wrapText="1"/>
    </xf>
    <xf numFmtId="4" fontId="9" fillId="7" borderId="6" xfId="0" applyNumberFormat="1" applyFont="1" applyFill="1" applyBorder="1" applyAlignment="1">
      <alignment horizontal="center" wrapText="1"/>
    </xf>
    <xf numFmtId="0" fontId="8" fillId="8" borderId="6" xfId="0" applyFont="1" applyFill="1" applyBorder="1" applyAlignment="1"/>
    <xf numFmtId="0" fontId="8" fillId="7" borderId="6" xfId="0" applyFont="1" applyFill="1" applyBorder="1" applyAlignment="1">
      <alignment vertical="center" wrapText="1"/>
    </xf>
    <xf numFmtId="0" fontId="8" fillId="0" borderId="7" xfId="0" applyFont="1" applyBorder="1" applyAlignment="1">
      <alignment horizontal="justify" wrapText="1"/>
    </xf>
    <xf numFmtId="0" fontId="9" fillId="0" borderId="7" xfId="0" applyFont="1" applyBorder="1" applyAlignment="1">
      <alignment horizontal="center"/>
    </xf>
    <xf numFmtId="0" fontId="8" fillId="8" borderId="6" xfId="0" applyFont="1" applyFill="1" applyBorder="1" applyAlignment="1">
      <alignment horizontal="justify" wrapText="1"/>
    </xf>
    <xf numFmtId="169" fontId="28" fillId="0" borderId="6" xfId="0" applyNumberFormat="1" applyFont="1" applyFill="1" applyBorder="1" applyAlignment="1">
      <alignment horizontal="center" vertical="center"/>
    </xf>
    <xf numFmtId="0" fontId="0" fillId="0" borderId="6" xfId="0" applyBorder="1" applyAlignment="1">
      <alignment horizontal="center"/>
    </xf>
    <xf numFmtId="165" fontId="10" fillId="0" borderId="0" xfId="3" applyFont="1" applyFill="1" applyBorder="1"/>
    <xf numFmtId="165" fontId="0" fillId="0" borderId="0" xfId="3" applyFont="1" applyFill="1" applyBorder="1"/>
    <xf numFmtId="0" fontId="0" fillId="0" borderId="0" xfId="0" applyFill="1" applyBorder="1"/>
    <xf numFmtId="165" fontId="66" fillId="0" borderId="0" xfId="3" applyFont="1" applyFill="1" applyBorder="1" applyAlignment="1">
      <alignment horizontal="center" wrapText="1"/>
    </xf>
    <xf numFmtId="0" fontId="49" fillId="0" borderId="0" xfId="0" applyFont="1" applyFill="1" applyBorder="1"/>
    <xf numFmtId="165" fontId="66" fillId="0" borderId="0" xfId="3" applyFont="1" applyFill="1" applyBorder="1" applyAlignment="1">
      <alignment horizontal="center"/>
    </xf>
    <xf numFmtId="0" fontId="66" fillId="0" borderId="0" xfId="0" applyFont="1" applyFill="1" applyBorder="1"/>
    <xf numFmtId="165" fontId="66" fillId="28" borderId="0" xfId="3" applyFont="1" applyFill="1" applyBorder="1"/>
    <xf numFmtId="0" fontId="66" fillId="0" borderId="0" xfId="0" applyFont="1" applyBorder="1"/>
    <xf numFmtId="43" fontId="0" fillId="0" borderId="0" xfId="0" applyNumberFormat="1" applyFill="1" applyBorder="1"/>
    <xf numFmtId="0" fontId="66" fillId="28" borderId="0" xfId="0" applyFont="1" applyFill="1" applyBorder="1"/>
    <xf numFmtId="165" fontId="66" fillId="0" borderId="0" xfId="3" applyFont="1" applyFill="1" applyBorder="1"/>
  </cellXfs>
  <cellStyles count="4">
    <cellStyle name="Moeda" xfId="1" builtinId="4"/>
    <cellStyle name="Normal" xfId="0" builtinId="0"/>
    <cellStyle name="Porcentagem" xfId="2" builtinId="5"/>
    <cellStyle name="Separador de milhares" xfId="3" builtinId="3"/>
  </cellStyles>
  <dxfs count="0"/>
  <tableStyles count="0" defaultTableStyle="TableStyleMedium9" defaultPivotStyle="PivotStyleLight16"/>
  <colors>
    <mruColors>
      <color rgb="FF0000FF"/>
      <color rgb="FF008A3E"/>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2:IV350"/>
  <sheetViews>
    <sheetView view="pageBreakPreview" topLeftCell="A68" zoomScale="120" zoomScaleNormal="100" zoomScaleSheetLayoutView="120" workbookViewId="0">
      <selection activeCell="D286" sqref="D286:E286"/>
    </sheetView>
  </sheetViews>
  <sheetFormatPr defaultRowHeight="12"/>
  <cols>
    <col min="1" max="1" width="15.28515625" style="1" customWidth="1"/>
    <col min="2" max="2" width="11.140625" style="1" customWidth="1"/>
    <col min="3" max="3" width="13.28515625" style="1" customWidth="1"/>
    <col min="4" max="4" width="10.140625" style="1" customWidth="1"/>
    <col min="5" max="5" width="12.42578125" style="1" bestFit="1" customWidth="1"/>
    <col min="6" max="6" width="11.28515625" style="1" bestFit="1" customWidth="1"/>
    <col min="7" max="7" width="9.85546875" style="1" customWidth="1"/>
    <col min="8" max="8" width="12.42578125" style="1" customWidth="1"/>
    <col min="9" max="9" width="14.5703125" style="46" customWidth="1"/>
    <col min="10" max="10" width="10.7109375" style="1" customWidth="1"/>
    <col min="11" max="11" width="11.140625" style="1" customWidth="1"/>
    <col min="12" max="12" width="7.42578125" style="1" customWidth="1"/>
    <col min="13" max="13" width="6.5703125" style="1" customWidth="1"/>
    <col min="14" max="15" width="9.28515625" style="1" bestFit="1" customWidth="1"/>
    <col min="16" max="16384" width="9.140625" style="1"/>
  </cols>
  <sheetData>
    <row r="2" spans="1:9" ht="23.25">
      <c r="A2" s="483" t="s">
        <v>100</v>
      </c>
      <c r="B2" s="483"/>
      <c r="C2" s="483"/>
      <c r="D2" s="483"/>
      <c r="E2" s="483"/>
      <c r="F2" s="483"/>
      <c r="G2" s="483"/>
      <c r="H2" s="483"/>
      <c r="I2" s="484"/>
    </row>
    <row r="3" spans="1:9" ht="48.75" customHeight="1">
      <c r="A3" s="489" t="s">
        <v>35</v>
      </c>
      <c r="B3" s="489"/>
      <c r="C3" s="489"/>
      <c r="D3" s="489"/>
      <c r="E3" s="489"/>
      <c r="F3" s="489"/>
      <c r="G3" s="489"/>
      <c r="H3" s="489"/>
      <c r="I3" s="490"/>
    </row>
    <row r="4" spans="1:9" ht="15.75" customHeight="1">
      <c r="A4" s="532" t="s">
        <v>296</v>
      </c>
      <c r="B4" s="533"/>
      <c r="C4" s="533"/>
      <c r="D4" s="533"/>
      <c r="E4" s="629"/>
      <c r="F4" s="614" t="s">
        <v>39</v>
      </c>
      <c r="G4" s="615"/>
      <c r="H4" s="615"/>
      <c r="I4" s="616"/>
    </row>
    <row r="5" spans="1:9" ht="15.75" customHeight="1">
      <c r="A5" s="532" t="s">
        <v>297</v>
      </c>
      <c r="B5" s="533"/>
      <c r="C5" s="533"/>
      <c r="D5" s="533"/>
      <c r="E5" s="629"/>
      <c r="F5" s="614" t="s">
        <v>41</v>
      </c>
      <c r="G5" s="615"/>
      <c r="H5" s="615"/>
      <c r="I5" s="616"/>
    </row>
    <row r="6" spans="1:9" ht="21.75" customHeight="1">
      <c r="A6" s="507" t="s">
        <v>40</v>
      </c>
      <c r="B6" s="714"/>
      <c r="C6" s="714"/>
      <c r="D6" s="714"/>
      <c r="E6" s="714"/>
      <c r="F6" s="714"/>
      <c r="G6" s="714"/>
      <c r="H6" s="714"/>
      <c r="I6" s="714"/>
    </row>
    <row r="7" spans="1:9" ht="20.25" customHeight="1">
      <c r="A7" s="528" t="s">
        <v>258</v>
      </c>
      <c r="B7" s="715"/>
      <c r="C7" s="715"/>
      <c r="D7" s="715"/>
      <c r="E7" s="715"/>
      <c r="F7" s="715"/>
      <c r="G7" s="715"/>
      <c r="H7" s="715"/>
      <c r="I7" s="636"/>
    </row>
    <row r="8" spans="1:9" ht="15.75" customHeight="1">
      <c r="A8" s="84" t="s">
        <v>259</v>
      </c>
      <c r="B8" s="507" t="s">
        <v>260</v>
      </c>
      <c r="C8" s="714"/>
      <c r="D8" s="714"/>
      <c r="E8" s="714"/>
      <c r="F8" s="714"/>
      <c r="G8" s="714"/>
      <c r="H8" s="716">
        <v>42368</v>
      </c>
      <c r="I8" s="616"/>
    </row>
    <row r="9" spans="1:9" ht="15.75" customHeight="1">
      <c r="A9" s="84" t="s">
        <v>261</v>
      </c>
      <c r="B9" s="507" t="s">
        <v>262</v>
      </c>
      <c r="C9" s="714"/>
      <c r="D9" s="714"/>
      <c r="E9" s="714"/>
      <c r="F9" s="714"/>
      <c r="G9" s="714"/>
      <c r="H9" s="719" t="s">
        <v>228</v>
      </c>
      <c r="I9" s="719"/>
    </row>
    <row r="10" spans="1:9" ht="37.5" customHeight="1">
      <c r="A10" s="84" t="s">
        <v>263</v>
      </c>
      <c r="B10" s="532" t="s">
        <v>352</v>
      </c>
      <c r="C10" s="653"/>
      <c r="D10" s="653"/>
      <c r="E10" s="653"/>
      <c r="F10" s="653"/>
      <c r="G10" s="654"/>
      <c r="H10" s="614" t="s">
        <v>42</v>
      </c>
      <c r="I10" s="616"/>
    </row>
    <row r="11" spans="1:9" ht="15.75" customHeight="1">
      <c r="A11" s="84" t="s">
        <v>264</v>
      </c>
      <c r="B11" s="532" t="s">
        <v>265</v>
      </c>
      <c r="C11" s="653"/>
      <c r="D11" s="653"/>
      <c r="E11" s="653"/>
      <c r="F11" s="653"/>
      <c r="G11" s="654"/>
      <c r="H11" s="614">
        <v>12</v>
      </c>
      <c r="I11" s="616"/>
    </row>
    <row r="12" spans="1:9" ht="27.75" customHeight="1">
      <c r="A12" s="501" t="s">
        <v>266</v>
      </c>
      <c r="B12" s="502"/>
      <c r="C12" s="502"/>
      <c r="D12" s="502"/>
      <c r="E12" s="502"/>
      <c r="F12" s="502"/>
      <c r="G12" s="502"/>
      <c r="H12" s="502"/>
      <c r="I12" s="502"/>
    </row>
    <row r="13" spans="1:9" ht="43.5" customHeight="1">
      <c r="A13" s="338" t="s">
        <v>331</v>
      </c>
      <c r="B13" s="503"/>
      <c r="C13" s="503"/>
      <c r="D13" s="503"/>
      <c r="E13" s="503"/>
      <c r="F13" s="338" t="s">
        <v>353</v>
      </c>
      <c r="G13" s="447"/>
      <c r="H13" s="717" t="s">
        <v>267</v>
      </c>
      <c r="I13" s="718"/>
    </row>
    <row r="14" spans="1:9" ht="12.75" customHeight="1">
      <c r="A14" s="428" t="s">
        <v>167</v>
      </c>
      <c r="B14" s="512"/>
      <c r="C14" s="512"/>
      <c r="D14" s="512"/>
      <c r="E14" s="512"/>
      <c r="F14" s="496" t="s">
        <v>268</v>
      </c>
      <c r="G14" s="496"/>
      <c r="H14" s="495">
        <v>2000</v>
      </c>
      <c r="I14" s="393"/>
    </row>
    <row r="15" spans="1:9" ht="12.75" customHeight="1">
      <c r="A15" s="428" t="s">
        <v>168</v>
      </c>
      <c r="B15" s="512"/>
      <c r="C15" s="512"/>
      <c r="D15" s="512"/>
      <c r="E15" s="512"/>
      <c r="F15" s="496" t="s">
        <v>268</v>
      </c>
      <c r="G15" s="496"/>
      <c r="H15" s="495">
        <v>4000</v>
      </c>
      <c r="I15" s="393"/>
    </row>
    <row r="16" spans="1:9" ht="12.75" customHeight="1">
      <c r="A16" s="360" t="s">
        <v>169</v>
      </c>
      <c r="B16" s="497"/>
      <c r="C16" s="497"/>
      <c r="D16" s="497"/>
      <c r="E16" s="498"/>
      <c r="F16" s="493" t="s">
        <v>268</v>
      </c>
      <c r="G16" s="494"/>
      <c r="H16" s="495">
        <v>0</v>
      </c>
      <c r="I16" s="393"/>
    </row>
    <row r="17" spans="1:15" ht="12.75" customHeight="1">
      <c r="A17" s="360" t="s">
        <v>170</v>
      </c>
      <c r="B17" s="497"/>
      <c r="C17" s="497"/>
      <c r="D17" s="497"/>
      <c r="E17" s="498"/>
      <c r="F17" s="493" t="s">
        <v>268</v>
      </c>
      <c r="G17" s="494"/>
      <c r="H17" s="495">
        <v>400</v>
      </c>
      <c r="I17" s="393"/>
    </row>
    <row r="18" spans="1:15" ht="12.75" customHeight="1">
      <c r="A18" s="360" t="s">
        <v>171</v>
      </c>
      <c r="B18" s="497"/>
      <c r="C18" s="497"/>
      <c r="D18" s="497"/>
      <c r="E18" s="498"/>
      <c r="F18" s="493" t="s">
        <v>268</v>
      </c>
      <c r="G18" s="494"/>
      <c r="H18" s="495">
        <v>0</v>
      </c>
      <c r="I18" s="393"/>
    </row>
    <row r="19" spans="1:15" ht="12.75" customHeight="1">
      <c r="A19" s="360" t="s">
        <v>172</v>
      </c>
      <c r="B19" s="497"/>
      <c r="C19" s="497"/>
      <c r="D19" s="497"/>
      <c r="E19" s="498"/>
      <c r="F19" s="493" t="s">
        <v>268</v>
      </c>
      <c r="G19" s="494"/>
      <c r="H19" s="495">
        <v>600</v>
      </c>
      <c r="I19" s="393"/>
    </row>
    <row r="20" spans="1:15" ht="12.75" customHeight="1">
      <c r="A20" s="499" t="s">
        <v>173</v>
      </c>
      <c r="B20" s="386"/>
      <c r="C20" s="386"/>
      <c r="D20" s="386"/>
      <c r="E20" s="386"/>
      <c r="F20" s="386"/>
      <c r="G20" s="500"/>
      <c r="H20" s="394">
        <f>ROUND(H14+H15+H16+H17+H18+H19,2)</f>
        <v>7000</v>
      </c>
      <c r="I20" s="500"/>
    </row>
    <row r="21" spans="1:15" ht="8.25" customHeight="1">
      <c r="A21" s="374"/>
      <c r="B21" s="485"/>
      <c r="C21" s="485"/>
      <c r="D21" s="485"/>
      <c r="E21" s="485"/>
      <c r="F21" s="485"/>
      <c r="G21" s="485"/>
      <c r="H21" s="485"/>
      <c r="I21" s="486"/>
    </row>
    <row r="22" spans="1:15" ht="23.25" customHeight="1">
      <c r="A22" s="428" t="s">
        <v>174</v>
      </c>
      <c r="B22" s="512"/>
      <c r="C22" s="512"/>
      <c r="D22" s="512"/>
      <c r="E22" s="512"/>
      <c r="F22" s="496" t="s">
        <v>268</v>
      </c>
      <c r="G22" s="496"/>
      <c r="H22" s="487">
        <v>500</v>
      </c>
      <c r="I22" s="488"/>
    </row>
    <row r="23" spans="1:15" ht="12.75" customHeight="1">
      <c r="A23" s="428" t="s">
        <v>175</v>
      </c>
      <c r="B23" s="513"/>
      <c r="C23" s="513"/>
      <c r="D23" s="513"/>
      <c r="E23" s="513"/>
      <c r="F23" s="508" t="s">
        <v>268</v>
      </c>
      <c r="G23" s="508"/>
      <c r="H23" s="487">
        <v>1200</v>
      </c>
      <c r="I23" s="488"/>
    </row>
    <row r="24" spans="1:15" ht="12.75" customHeight="1">
      <c r="A24" s="428" t="s">
        <v>176</v>
      </c>
      <c r="B24" s="513"/>
      <c r="C24" s="513"/>
      <c r="D24" s="513"/>
      <c r="E24" s="513"/>
      <c r="F24" s="496" t="s">
        <v>268</v>
      </c>
      <c r="G24" s="496"/>
      <c r="H24" s="487">
        <v>100</v>
      </c>
      <c r="I24" s="488"/>
    </row>
    <row r="25" spans="1:15" ht="15.75" customHeight="1">
      <c r="A25" s="428" t="s">
        <v>177</v>
      </c>
      <c r="B25" s="513"/>
      <c r="C25" s="513"/>
      <c r="D25" s="513"/>
      <c r="E25" s="513"/>
      <c r="F25" s="508" t="s">
        <v>268</v>
      </c>
      <c r="G25" s="508"/>
      <c r="H25" s="487">
        <v>150</v>
      </c>
      <c r="I25" s="488"/>
    </row>
    <row r="26" spans="1:15" ht="14.25" customHeight="1">
      <c r="A26" s="428" t="s">
        <v>178</v>
      </c>
      <c r="B26" s="513"/>
      <c r="C26" s="513"/>
      <c r="D26" s="513"/>
      <c r="E26" s="513"/>
      <c r="F26" s="508" t="s">
        <v>268</v>
      </c>
      <c r="G26" s="508"/>
      <c r="H26" s="487">
        <v>250</v>
      </c>
      <c r="I26" s="488"/>
      <c r="J26" s="2" t="s">
        <v>141</v>
      </c>
      <c r="K26" s="2" t="s">
        <v>140</v>
      </c>
      <c r="L26" s="2" t="s">
        <v>143</v>
      </c>
      <c r="M26" s="2" t="s">
        <v>142</v>
      </c>
      <c r="N26" s="1" t="s">
        <v>157</v>
      </c>
      <c r="O26" s="1" t="s">
        <v>156</v>
      </c>
    </row>
    <row r="27" spans="1:15" ht="26.25" customHeight="1">
      <c r="A27" s="428" t="s">
        <v>179</v>
      </c>
      <c r="B27" s="513"/>
      <c r="C27" s="513"/>
      <c r="D27" s="513"/>
      <c r="E27" s="513"/>
      <c r="F27" s="496" t="s">
        <v>268</v>
      </c>
      <c r="G27" s="496"/>
      <c r="H27" s="487">
        <v>800</v>
      </c>
      <c r="I27" s="488"/>
      <c r="J27" s="12">
        <f>H59</f>
        <v>0</v>
      </c>
      <c r="K27" s="1">
        <v>220</v>
      </c>
      <c r="L27" s="1">
        <f>ROUND(J27/K27,2)</f>
        <v>0</v>
      </c>
      <c r="M27" s="1">
        <f>8*15*0</f>
        <v>0</v>
      </c>
      <c r="N27" s="12">
        <v>0</v>
      </c>
      <c r="O27" s="11">
        <v>0.5</v>
      </c>
    </row>
    <row r="28" spans="1:15" ht="15" customHeight="1">
      <c r="A28" s="515" t="s">
        <v>180</v>
      </c>
      <c r="B28" s="516"/>
      <c r="C28" s="516"/>
      <c r="D28" s="516"/>
      <c r="E28" s="516"/>
      <c r="F28" s="516"/>
      <c r="G28" s="516"/>
      <c r="H28" s="491">
        <f>ROUND(H22+H23+H24+H25+H26+H27,2)</f>
        <v>3000</v>
      </c>
      <c r="I28" s="492"/>
      <c r="J28" s="12"/>
      <c r="N28" s="12"/>
      <c r="O28" s="11"/>
    </row>
    <row r="29" spans="1:15" ht="7.5" customHeight="1">
      <c r="A29" s="374"/>
      <c r="B29" s="485"/>
      <c r="C29" s="485"/>
      <c r="D29" s="485"/>
      <c r="E29" s="485"/>
      <c r="F29" s="485"/>
      <c r="G29" s="485"/>
      <c r="H29" s="485"/>
      <c r="I29" s="486"/>
      <c r="J29" s="1" t="s">
        <v>138</v>
      </c>
      <c r="K29" s="1" t="s">
        <v>139</v>
      </c>
      <c r="N29" s="12"/>
      <c r="O29" s="11"/>
    </row>
    <row r="30" spans="1:15" ht="27" customHeight="1">
      <c r="A30" s="428" t="s">
        <v>181</v>
      </c>
      <c r="B30" s="512"/>
      <c r="C30" s="512"/>
      <c r="D30" s="512"/>
      <c r="E30" s="512"/>
      <c r="F30" s="496" t="s">
        <v>268</v>
      </c>
      <c r="G30" s="496"/>
      <c r="H30" s="487">
        <v>100</v>
      </c>
      <c r="I30" s="488"/>
      <c r="J30" s="11">
        <v>0</v>
      </c>
      <c r="K30" s="11">
        <v>0</v>
      </c>
    </row>
    <row r="31" spans="1:15" ht="25.5" customHeight="1">
      <c r="A31" s="428" t="s">
        <v>182</v>
      </c>
      <c r="B31" s="512"/>
      <c r="C31" s="512"/>
      <c r="D31" s="512"/>
      <c r="E31" s="512"/>
      <c r="F31" s="496" t="s">
        <v>268</v>
      </c>
      <c r="G31" s="496"/>
      <c r="H31" s="487">
        <v>250</v>
      </c>
      <c r="I31" s="488"/>
      <c r="J31" s="11">
        <v>0.1</v>
      </c>
      <c r="K31" s="11">
        <v>0.3</v>
      </c>
    </row>
    <row r="32" spans="1:15" ht="12.75">
      <c r="A32" s="360" t="s">
        <v>183</v>
      </c>
      <c r="B32" s="497"/>
      <c r="C32" s="497"/>
      <c r="D32" s="497"/>
      <c r="E32" s="498"/>
      <c r="F32" s="493" t="s">
        <v>268</v>
      </c>
      <c r="G32" s="494"/>
      <c r="H32" s="487">
        <v>350</v>
      </c>
      <c r="I32" s="488"/>
    </row>
    <row r="33" spans="1:12" ht="12.75">
      <c r="A33" s="509" t="s">
        <v>216</v>
      </c>
      <c r="B33" s="510"/>
      <c r="C33" s="510"/>
      <c r="D33" s="510"/>
      <c r="E33" s="510"/>
      <c r="F33" s="510"/>
      <c r="G33" s="511"/>
      <c r="H33" s="491">
        <f>ROUND(H30+H31+H32,2)</f>
        <v>700</v>
      </c>
      <c r="I33" s="492"/>
    </row>
    <row r="34" spans="1:12" ht="7.5" customHeight="1">
      <c r="A34" s="676"/>
      <c r="B34" s="485"/>
      <c r="C34" s="485"/>
      <c r="D34" s="485"/>
      <c r="E34" s="485"/>
      <c r="F34" s="485"/>
      <c r="G34" s="485"/>
      <c r="H34" s="485"/>
      <c r="I34" s="486"/>
    </row>
    <row r="35" spans="1:12" ht="12.75">
      <c r="A35" s="514" t="s">
        <v>214</v>
      </c>
      <c r="B35" s="514"/>
      <c r="C35" s="514"/>
      <c r="D35" s="514"/>
      <c r="E35" s="514"/>
      <c r="F35" s="493" t="s">
        <v>268</v>
      </c>
      <c r="G35" s="494"/>
      <c r="H35" s="391">
        <v>70</v>
      </c>
      <c r="I35" s="393"/>
    </row>
    <row r="36" spans="1:12" ht="12.75" customHeight="1">
      <c r="A36" s="681" t="s">
        <v>215</v>
      </c>
      <c r="B36" s="682"/>
      <c r="C36" s="682"/>
      <c r="D36" s="682"/>
      <c r="E36" s="682"/>
      <c r="F36" s="682"/>
      <c r="G36" s="683"/>
      <c r="H36" s="394">
        <f>H35</f>
        <v>70</v>
      </c>
      <c r="I36" s="500"/>
    </row>
    <row r="37" spans="1:12" ht="7.5" customHeight="1">
      <c r="A37" s="688"/>
      <c r="B37" s="689"/>
      <c r="C37" s="689"/>
      <c r="D37" s="689"/>
      <c r="E37" s="689"/>
      <c r="F37" s="689"/>
      <c r="G37" s="689"/>
      <c r="H37" s="689"/>
      <c r="I37" s="690"/>
    </row>
    <row r="38" spans="1:12" s="4" customFormat="1" ht="12.75">
      <c r="A38" s="514" t="s">
        <v>184</v>
      </c>
      <c r="B38" s="514"/>
      <c r="C38" s="514"/>
      <c r="D38" s="514"/>
      <c r="E38" s="514"/>
      <c r="F38" s="508" t="s">
        <v>268</v>
      </c>
      <c r="G38" s="508"/>
      <c r="H38" s="686">
        <v>0</v>
      </c>
      <c r="I38" s="687"/>
      <c r="J38" s="13" t="s">
        <v>144</v>
      </c>
      <c r="K38" s="1" t="s">
        <v>145</v>
      </c>
      <c r="L38" s="1" t="s">
        <v>146</v>
      </c>
    </row>
    <row r="39" spans="1:12" ht="12.75">
      <c r="A39" s="665" t="s">
        <v>91</v>
      </c>
      <c r="B39" s="510"/>
      <c r="C39" s="510"/>
      <c r="D39" s="510"/>
      <c r="E39" s="510"/>
      <c r="F39" s="510"/>
      <c r="G39" s="511"/>
      <c r="H39" s="684">
        <v>0</v>
      </c>
      <c r="I39" s="685"/>
      <c r="J39" s="1">
        <v>2.2999999999999998</v>
      </c>
      <c r="K39" s="14">
        <v>22</v>
      </c>
      <c r="L39" s="15">
        <v>5.5</v>
      </c>
    </row>
    <row r="40" spans="1:12" ht="8.25" customHeight="1">
      <c r="A40" s="122"/>
      <c r="B40" s="119"/>
      <c r="C40" s="119"/>
      <c r="D40" s="119"/>
      <c r="E40" s="119"/>
      <c r="F40" s="119"/>
      <c r="G40" s="119"/>
      <c r="H40" s="120"/>
      <c r="I40" s="121"/>
      <c r="K40" s="14"/>
      <c r="L40" s="15"/>
    </row>
    <row r="41" spans="1:12" ht="15.75" customHeight="1">
      <c r="A41" s="666" t="s">
        <v>92</v>
      </c>
      <c r="B41" s="667"/>
      <c r="C41" s="667"/>
      <c r="D41" s="667"/>
      <c r="E41" s="667"/>
      <c r="F41" s="508" t="s">
        <v>268</v>
      </c>
      <c r="G41" s="508"/>
      <c r="H41" s="679">
        <v>0</v>
      </c>
      <c r="I41" s="680"/>
      <c r="K41" s="14"/>
      <c r="L41" s="15"/>
    </row>
    <row r="42" spans="1:12" ht="15" customHeight="1">
      <c r="A42" s="509" t="s">
        <v>90</v>
      </c>
      <c r="B42" s="721"/>
      <c r="C42" s="721"/>
      <c r="D42" s="721"/>
      <c r="E42" s="721"/>
      <c r="F42" s="721"/>
      <c r="G42" s="722"/>
      <c r="H42" s="720">
        <v>0</v>
      </c>
      <c r="I42" s="396"/>
      <c r="K42" s="14"/>
      <c r="L42" s="15"/>
    </row>
    <row r="43" spans="1:12" ht="7.5" customHeight="1">
      <c r="A43" s="676"/>
      <c r="B43" s="485"/>
      <c r="C43" s="485"/>
      <c r="D43" s="485"/>
      <c r="E43" s="485"/>
      <c r="F43" s="485"/>
      <c r="G43" s="485"/>
      <c r="H43" s="485"/>
      <c r="I43" s="486"/>
    </row>
    <row r="44" spans="1:12" ht="12.75" customHeight="1">
      <c r="A44" s="662" t="s">
        <v>269</v>
      </c>
      <c r="B44" s="663"/>
      <c r="C44" s="663"/>
      <c r="D44" s="663"/>
      <c r="E44" s="663"/>
      <c r="F44" s="663"/>
      <c r="G44" s="664"/>
      <c r="H44" s="677">
        <f>ROUND(H20+H28+H33+H36+H39,2)</f>
        <v>10770</v>
      </c>
      <c r="I44" s="678"/>
    </row>
    <row r="45" spans="1:12" ht="7.5" customHeight="1">
      <c r="A45" s="670"/>
      <c r="B45" s="671"/>
      <c r="C45" s="671"/>
      <c r="D45" s="671"/>
      <c r="E45" s="671"/>
      <c r="F45" s="671"/>
      <c r="G45" s="671"/>
      <c r="H45" s="671"/>
      <c r="I45" s="671"/>
      <c r="J45" s="5"/>
      <c r="K45" s="6"/>
      <c r="L45" s="7"/>
    </row>
    <row r="46" spans="1:12" ht="57" customHeight="1">
      <c r="A46" s="673" t="s">
        <v>354</v>
      </c>
      <c r="B46" s="674"/>
      <c r="C46" s="674"/>
      <c r="D46" s="674"/>
      <c r="E46" s="674"/>
      <c r="F46" s="674"/>
      <c r="G46" s="674"/>
      <c r="H46" s="674"/>
      <c r="I46" s="675"/>
      <c r="J46" s="5"/>
      <c r="K46" s="6"/>
      <c r="L46" s="7"/>
    </row>
    <row r="47" spans="1:12" ht="7.5" customHeight="1">
      <c r="A47" s="670"/>
      <c r="B47" s="474"/>
      <c r="C47" s="474"/>
      <c r="D47" s="474"/>
      <c r="E47" s="474"/>
      <c r="F47" s="474"/>
      <c r="G47" s="474"/>
      <c r="H47" s="474"/>
      <c r="I47" s="474"/>
      <c r="J47" s="5"/>
      <c r="K47" s="6"/>
      <c r="L47" s="7"/>
    </row>
    <row r="48" spans="1:12" ht="64.5" customHeight="1">
      <c r="A48" s="539" t="s">
        <v>410</v>
      </c>
      <c r="B48" s="672"/>
      <c r="C48" s="672"/>
      <c r="D48" s="672"/>
      <c r="E48" s="672"/>
      <c r="F48" s="672"/>
      <c r="G48" s="672"/>
      <c r="H48" s="672"/>
      <c r="I48" s="390"/>
      <c r="J48" s="5"/>
      <c r="K48" s="6"/>
      <c r="L48" s="7"/>
    </row>
    <row r="49" spans="1:256" ht="21.75" customHeight="1">
      <c r="A49" s="528" t="s">
        <v>161</v>
      </c>
      <c r="B49" s="529"/>
      <c r="C49" s="529"/>
      <c r="D49" s="529"/>
      <c r="E49" s="529"/>
      <c r="F49" s="529"/>
      <c r="G49" s="529"/>
      <c r="H49" s="529"/>
      <c r="I49" s="636"/>
      <c r="J49" s="504"/>
      <c r="K49" s="504"/>
      <c r="L49" s="504"/>
      <c r="M49" s="504"/>
      <c r="N49" s="504"/>
      <c r="O49" s="504"/>
      <c r="P49" s="504"/>
      <c r="Q49" s="504"/>
      <c r="R49" s="504"/>
      <c r="S49" s="504"/>
      <c r="T49" s="504"/>
      <c r="U49" s="504"/>
      <c r="V49" s="504"/>
      <c r="W49" s="504"/>
      <c r="X49" s="504"/>
      <c r="Y49" s="504"/>
      <c r="Z49" s="504"/>
      <c r="AA49" s="504"/>
      <c r="AB49" s="504"/>
      <c r="AC49" s="504"/>
      <c r="AD49" s="504"/>
      <c r="AE49" s="504"/>
      <c r="AF49" s="504"/>
      <c r="AG49" s="504"/>
      <c r="AH49" s="504"/>
      <c r="AI49" s="504"/>
      <c r="AJ49" s="504"/>
      <c r="AK49" s="504"/>
      <c r="AL49" s="504"/>
      <c r="AM49" s="504"/>
      <c r="AN49" s="504"/>
      <c r="AO49" s="504"/>
      <c r="AP49" s="504"/>
      <c r="AQ49" s="504"/>
      <c r="AR49" s="504"/>
      <c r="AS49" s="504"/>
      <c r="AT49" s="504"/>
      <c r="AU49" s="504"/>
      <c r="AV49" s="504"/>
      <c r="AW49" s="504"/>
      <c r="AX49" s="504"/>
      <c r="AY49" s="504"/>
      <c r="AZ49" s="504"/>
      <c r="BA49" s="504"/>
      <c r="BB49" s="504"/>
      <c r="BC49" s="504"/>
      <c r="BD49" s="504"/>
      <c r="BE49" s="504"/>
      <c r="BF49" s="504"/>
      <c r="BG49" s="504"/>
      <c r="BH49" s="504"/>
      <c r="BI49" s="504"/>
      <c r="BJ49" s="504"/>
      <c r="BK49" s="504"/>
      <c r="BL49" s="504"/>
      <c r="BM49" s="504"/>
      <c r="BN49" s="504"/>
      <c r="BO49" s="504"/>
      <c r="BP49" s="504"/>
      <c r="BQ49" s="504"/>
      <c r="BR49" s="504"/>
      <c r="BS49" s="504"/>
      <c r="BT49" s="504"/>
      <c r="BU49" s="504"/>
      <c r="BV49" s="504"/>
      <c r="BW49" s="504"/>
      <c r="BX49" s="504"/>
      <c r="BY49" s="504"/>
      <c r="BZ49" s="504"/>
      <c r="CA49" s="504"/>
      <c r="CB49" s="504"/>
      <c r="CC49" s="504"/>
      <c r="CD49" s="504"/>
      <c r="CE49" s="504"/>
      <c r="CF49" s="504"/>
      <c r="CG49" s="504"/>
      <c r="CH49" s="504"/>
      <c r="CI49" s="504"/>
      <c r="CJ49" s="504"/>
      <c r="CK49" s="504"/>
      <c r="CL49" s="504"/>
      <c r="CM49" s="504"/>
      <c r="CN49" s="504"/>
      <c r="CO49" s="504"/>
      <c r="CP49" s="504"/>
      <c r="CQ49" s="504"/>
      <c r="CR49" s="504"/>
      <c r="CS49" s="504"/>
      <c r="CT49" s="504"/>
      <c r="CU49" s="504"/>
      <c r="CV49" s="504"/>
      <c r="CW49" s="504"/>
      <c r="CX49" s="504"/>
      <c r="CY49" s="504"/>
      <c r="CZ49" s="504"/>
      <c r="DA49" s="504"/>
      <c r="DB49" s="504"/>
      <c r="DC49" s="504"/>
      <c r="DD49" s="504"/>
      <c r="DE49" s="504"/>
      <c r="DF49" s="504"/>
      <c r="DG49" s="504"/>
      <c r="DH49" s="504"/>
      <c r="DI49" s="504"/>
      <c r="DJ49" s="504"/>
      <c r="DK49" s="504"/>
      <c r="DL49" s="504"/>
      <c r="DM49" s="504"/>
      <c r="DN49" s="504"/>
      <c r="DO49" s="504"/>
      <c r="DP49" s="504"/>
      <c r="DQ49" s="504"/>
      <c r="DR49" s="504"/>
      <c r="DS49" s="504"/>
      <c r="DT49" s="504"/>
      <c r="DU49" s="504"/>
      <c r="DV49" s="504"/>
      <c r="DW49" s="504"/>
      <c r="DX49" s="504"/>
      <c r="DY49" s="504"/>
      <c r="DZ49" s="504"/>
      <c r="EA49" s="504"/>
      <c r="EB49" s="504"/>
      <c r="EC49" s="504"/>
      <c r="ED49" s="504"/>
      <c r="EE49" s="504"/>
      <c r="EF49" s="504"/>
      <c r="EG49" s="504"/>
      <c r="EH49" s="504"/>
      <c r="EI49" s="504"/>
      <c r="EJ49" s="504"/>
      <c r="EK49" s="504"/>
      <c r="EL49" s="504"/>
      <c r="EM49" s="504"/>
      <c r="EN49" s="504"/>
      <c r="EO49" s="504"/>
      <c r="EP49" s="504"/>
      <c r="EQ49" s="504"/>
      <c r="ER49" s="504"/>
      <c r="ES49" s="504"/>
      <c r="ET49" s="504"/>
      <c r="EU49" s="504"/>
      <c r="EV49" s="504"/>
      <c r="EW49" s="504"/>
      <c r="EX49" s="504"/>
      <c r="EY49" s="504"/>
      <c r="EZ49" s="504"/>
      <c r="FA49" s="504"/>
      <c r="FB49" s="504"/>
      <c r="FC49" s="504"/>
      <c r="FD49" s="504"/>
      <c r="FE49" s="504"/>
      <c r="FF49" s="504"/>
      <c r="FG49" s="504"/>
      <c r="FH49" s="504"/>
      <c r="FI49" s="504"/>
      <c r="FJ49" s="504"/>
      <c r="FK49" s="504"/>
      <c r="FL49" s="504"/>
      <c r="FM49" s="504"/>
      <c r="FN49" s="504"/>
      <c r="FO49" s="504"/>
      <c r="FP49" s="504"/>
      <c r="FQ49" s="504"/>
      <c r="FR49" s="504"/>
      <c r="FS49" s="504"/>
      <c r="FT49" s="504"/>
      <c r="FU49" s="504"/>
      <c r="FV49" s="504"/>
      <c r="FW49" s="504"/>
      <c r="FX49" s="504"/>
      <c r="FY49" s="504"/>
      <c r="FZ49" s="504"/>
      <c r="GA49" s="504"/>
      <c r="GB49" s="504"/>
      <c r="GC49" s="504"/>
      <c r="GD49" s="504"/>
      <c r="GE49" s="504"/>
      <c r="GF49" s="504"/>
      <c r="GG49" s="504"/>
      <c r="GH49" s="504"/>
      <c r="GI49" s="504"/>
      <c r="GJ49" s="504"/>
      <c r="GK49" s="504"/>
      <c r="GL49" s="504"/>
      <c r="GM49" s="504"/>
      <c r="GN49" s="504"/>
      <c r="GO49" s="504"/>
      <c r="GP49" s="504"/>
      <c r="GQ49" s="504"/>
      <c r="GR49" s="504"/>
      <c r="GS49" s="504"/>
      <c r="GT49" s="504"/>
      <c r="GU49" s="504"/>
      <c r="GV49" s="504"/>
      <c r="GW49" s="504"/>
      <c r="GX49" s="504"/>
      <c r="GY49" s="504"/>
      <c r="GZ49" s="504"/>
      <c r="HA49" s="504"/>
      <c r="HB49" s="504"/>
      <c r="HC49" s="504"/>
      <c r="HD49" s="504"/>
      <c r="HE49" s="504"/>
      <c r="HF49" s="504"/>
      <c r="HG49" s="504"/>
      <c r="HH49" s="504"/>
      <c r="HI49" s="504"/>
      <c r="HJ49" s="504"/>
      <c r="HK49" s="504"/>
      <c r="HL49" s="504"/>
      <c r="HM49" s="504"/>
      <c r="HN49" s="504"/>
      <c r="HO49" s="504"/>
      <c r="HP49" s="504"/>
      <c r="HQ49" s="504"/>
      <c r="HR49" s="504"/>
      <c r="HS49" s="504"/>
      <c r="HT49" s="504"/>
      <c r="HU49" s="504"/>
      <c r="HV49" s="504"/>
      <c r="HW49" s="504"/>
      <c r="HX49" s="504"/>
      <c r="HY49" s="504"/>
      <c r="HZ49" s="504"/>
      <c r="IA49" s="504"/>
      <c r="IB49" s="504"/>
      <c r="IC49" s="504"/>
      <c r="ID49" s="504"/>
      <c r="IE49" s="504"/>
      <c r="IF49" s="504"/>
      <c r="IG49" s="504"/>
      <c r="IH49" s="504"/>
      <c r="II49" s="504"/>
      <c r="IJ49" s="504"/>
      <c r="IK49" s="504"/>
      <c r="IL49" s="504"/>
      <c r="IM49" s="504"/>
      <c r="IN49" s="504"/>
      <c r="IO49" s="504"/>
      <c r="IP49" s="504"/>
      <c r="IQ49" s="504"/>
      <c r="IR49" s="504"/>
      <c r="IS49" s="504"/>
      <c r="IT49" s="504"/>
      <c r="IU49" s="504"/>
      <c r="IV49" s="504"/>
    </row>
    <row r="50" spans="1:256" ht="15.75" customHeight="1">
      <c r="A50" s="84">
        <v>1</v>
      </c>
      <c r="B50" s="507" t="s">
        <v>270</v>
      </c>
      <c r="C50" s="507"/>
      <c r="D50" s="507"/>
      <c r="E50" s="507"/>
      <c r="F50" s="507"/>
      <c r="G50" s="507"/>
      <c r="H50" s="505" t="s">
        <v>271</v>
      </c>
      <c r="I50" s="506"/>
    </row>
    <row r="51" spans="1:256" ht="15.75" customHeight="1">
      <c r="A51" s="84">
        <v>2</v>
      </c>
      <c r="B51" s="507" t="s">
        <v>413</v>
      </c>
      <c r="C51" s="507"/>
      <c r="D51" s="507"/>
      <c r="E51" s="507"/>
      <c r="F51" s="507"/>
      <c r="G51" s="507"/>
      <c r="H51" s="505">
        <v>829.4</v>
      </c>
      <c r="I51" s="669"/>
    </row>
    <row r="52" spans="1:256" ht="15.75" customHeight="1">
      <c r="A52" s="84">
        <v>3</v>
      </c>
      <c r="B52" s="507" t="s">
        <v>341</v>
      </c>
      <c r="C52" s="507"/>
      <c r="D52" s="507"/>
      <c r="E52" s="507"/>
      <c r="F52" s="507"/>
      <c r="G52" s="507"/>
      <c r="H52" s="621" t="s">
        <v>340</v>
      </c>
      <c r="I52" s="622"/>
    </row>
    <row r="53" spans="1:256" ht="15.75" customHeight="1">
      <c r="A53" s="84">
        <v>4</v>
      </c>
      <c r="B53" s="507" t="s">
        <v>125</v>
      </c>
      <c r="C53" s="507"/>
      <c r="D53" s="507"/>
      <c r="E53" s="507"/>
      <c r="F53" s="507"/>
      <c r="G53" s="507"/>
      <c r="H53" s="621" t="s">
        <v>43</v>
      </c>
      <c r="I53" s="622"/>
    </row>
    <row r="54" spans="1:256" ht="9" customHeight="1">
      <c r="A54" s="619"/>
      <c r="B54" s="620"/>
      <c r="C54" s="620"/>
      <c r="D54" s="620"/>
      <c r="E54" s="620"/>
      <c r="F54" s="620"/>
      <c r="G54" s="620"/>
      <c r="H54" s="620"/>
      <c r="I54" s="620"/>
    </row>
    <row r="55" spans="1:256" ht="14.25" customHeight="1">
      <c r="A55" s="666" t="s">
        <v>338</v>
      </c>
      <c r="B55" s="667"/>
      <c r="C55" s="667"/>
      <c r="D55" s="667"/>
      <c r="E55" s="667"/>
      <c r="F55" s="667"/>
      <c r="G55" s="667"/>
      <c r="H55" s="667"/>
      <c r="I55" s="710"/>
    </row>
    <row r="56" spans="1:256" ht="9" customHeight="1">
      <c r="A56" s="711"/>
      <c r="B56" s="712"/>
      <c r="C56" s="712"/>
      <c r="D56" s="712"/>
      <c r="E56" s="712"/>
      <c r="F56" s="712"/>
      <c r="G56" s="712"/>
      <c r="H56" s="712"/>
      <c r="I56" s="713"/>
    </row>
    <row r="57" spans="1:256" ht="36" customHeight="1">
      <c r="A57" s="618" t="s">
        <v>298</v>
      </c>
      <c r="B57" s="431"/>
      <c r="C57" s="431"/>
      <c r="D57" s="431"/>
      <c r="E57" s="431"/>
      <c r="F57" s="431"/>
      <c r="G57" s="431"/>
      <c r="H57" s="431"/>
      <c r="I57" s="340"/>
    </row>
    <row r="58" spans="1:256" s="8" customFormat="1" ht="29.25" customHeight="1">
      <c r="A58" s="60">
        <v>1</v>
      </c>
      <c r="B58" s="528" t="s">
        <v>355</v>
      </c>
      <c r="C58" s="529"/>
      <c r="D58" s="529"/>
      <c r="E58" s="529"/>
      <c r="F58" s="529"/>
      <c r="G58" s="626"/>
      <c r="H58" s="60" t="s">
        <v>385</v>
      </c>
      <c r="I58" s="60" t="s">
        <v>386</v>
      </c>
    </row>
    <row r="59" spans="1:256" ht="27.75" customHeight="1">
      <c r="A59" s="84" t="s">
        <v>259</v>
      </c>
      <c r="B59" s="532" t="s">
        <v>411</v>
      </c>
      <c r="C59" s="533"/>
      <c r="D59" s="533"/>
      <c r="E59" s="533"/>
      <c r="F59" s="533"/>
      <c r="G59" s="533"/>
      <c r="H59" s="624"/>
      <c r="I59" s="87">
        <f>ROUND(((40/6)*30)*(ROUND(H51/220,2)),2)</f>
        <v>754</v>
      </c>
    </row>
    <row r="60" spans="1:256" ht="15.75" customHeight="1">
      <c r="A60" s="84" t="s">
        <v>261</v>
      </c>
      <c r="B60" s="668" t="s">
        <v>435</v>
      </c>
      <c r="C60" s="534"/>
      <c r="D60" s="534"/>
      <c r="E60" s="534"/>
      <c r="F60" s="534"/>
      <c r="G60" s="623"/>
      <c r="H60" s="85"/>
      <c r="I60" s="87"/>
    </row>
    <row r="61" spans="1:256" ht="15.75" customHeight="1">
      <c r="A61" s="84" t="s">
        <v>263</v>
      </c>
      <c r="B61" s="645" t="s">
        <v>44</v>
      </c>
      <c r="C61" s="534"/>
      <c r="D61" s="534"/>
      <c r="E61" s="534"/>
      <c r="F61" s="534"/>
      <c r="G61" s="623"/>
      <c r="H61" s="86">
        <v>0.2</v>
      </c>
      <c r="I61" s="87">
        <f>ROUND(H61*I59,2)</f>
        <v>150.80000000000001</v>
      </c>
    </row>
    <row r="62" spans="1:256" ht="15.75" customHeight="1">
      <c r="A62" s="84" t="s">
        <v>264</v>
      </c>
      <c r="B62" s="532" t="s">
        <v>436</v>
      </c>
      <c r="C62" s="625"/>
      <c r="D62" s="625"/>
      <c r="E62" s="625"/>
      <c r="F62" s="625"/>
      <c r="G62" s="625"/>
      <c r="H62" s="624"/>
      <c r="I62" s="87"/>
    </row>
    <row r="63" spans="1:256" ht="15.75" customHeight="1">
      <c r="A63" s="84" t="s">
        <v>272</v>
      </c>
      <c r="B63" s="532" t="s">
        <v>437</v>
      </c>
      <c r="C63" s="625"/>
      <c r="D63" s="625"/>
      <c r="E63" s="625"/>
      <c r="F63" s="625"/>
      <c r="G63" s="625"/>
      <c r="H63" s="624"/>
      <c r="I63" s="87"/>
    </row>
    <row r="64" spans="1:256" ht="15.75" customHeight="1">
      <c r="A64" s="84" t="s">
        <v>273</v>
      </c>
      <c r="B64" s="532" t="s">
        <v>438</v>
      </c>
      <c r="C64" s="625"/>
      <c r="D64" s="625"/>
      <c r="E64" s="625"/>
      <c r="F64" s="625"/>
      <c r="G64" s="625"/>
      <c r="H64" s="624"/>
      <c r="I64" s="87"/>
    </row>
    <row r="65" spans="1:12" ht="15.75" customHeight="1">
      <c r="A65" s="84" t="s">
        <v>274</v>
      </c>
      <c r="B65" s="532" t="s">
        <v>356</v>
      </c>
      <c r="C65" s="625"/>
      <c r="D65" s="625"/>
      <c r="E65" s="625"/>
      <c r="F65" s="625"/>
      <c r="G65" s="625"/>
      <c r="H65" s="624"/>
      <c r="I65" s="87"/>
    </row>
    <row r="66" spans="1:12" ht="15.75" customHeight="1">
      <c r="A66" s="385" t="s">
        <v>330</v>
      </c>
      <c r="B66" s="534"/>
      <c r="C66" s="534"/>
      <c r="D66" s="534"/>
      <c r="E66" s="534"/>
      <c r="F66" s="534"/>
      <c r="G66" s="534"/>
      <c r="H66" s="623"/>
      <c r="I66" s="68">
        <f>SUM(I59:I65)</f>
        <v>904.8</v>
      </c>
    </row>
    <row r="67" spans="1:12" ht="30" customHeight="1">
      <c r="A67" s="517" t="s">
        <v>276</v>
      </c>
      <c r="B67" s="518"/>
      <c r="C67" s="518"/>
      <c r="D67" s="518"/>
      <c r="E67" s="518"/>
      <c r="F67" s="518"/>
      <c r="G67" s="518"/>
      <c r="H67" s="518"/>
      <c r="I67" s="398"/>
    </row>
    <row r="68" spans="1:12" ht="18.75" customHeight="1">
      <c r="A68" s="75">
        <v>2</v>
      </c>
      <c r="B68" s="528" t="s">
        <v>357</v>
      </c>
      <c r="C68" s="529"/>
      <c r="D68" s="529"/>
      <c r="E68" s="529"/>
      <c r="F68" s="529"/>
      <c r="G68" s="529"/>
      <c r="H68" s="530"/>
      <c r="I68" s="53" t="s">
        <v>127</v>
      </c>
    </row>
    <row r="69" spans="1:12" ht="15.75" customHeight="1">
      <c r="A69" s="52" t="s">
        <v>259</v>
      </c>
      <c r="B69" s="507" t="s">
        <v>347</v>
      </c>
      <c r="C69" s="507"/>
      <c r="D69" s="507"/>
      <c r="E69" s="507"/>
      <c r="F69" s="507"/>
      <c r="G69" s="507"/>
      <c r="H69" s="531"/>
      <c r="I69" s="88">
        <f>IF(ROUND((21*H70*H71)-(I59*0.06),2)&lt;0,0,ROUND((21*H70*H71)-(I59*0.06),2))*1+(H70*H71*21.726-0.06*I59)*0</f>
        <v>91.26</v>
      </c>
      <c r="K69" s="1">
        <f>2*22*2.7</f>
        <v>118.80000000000001</v>
      </c>
    </row>
    <row r="70" spans="1:12" ht="22.5" customHeight="1">
      <c r="A70" s="52"/>
      <c r="B70" s="519" t="s">
        <v>334</v>
      </c>
      <c r="C70" s="520"/>
      <c r="D70" s="520"/>
      <c r="E70" s="520"/>
      <c r="F70" s="520"/>
      <c r="G70" s="520"/>
      <c r="H70" s="91">
        <v>3.25</v>
      </c>
      <c r="I70" s="89" t="s">
        <v>227</v>
      </c>
      <c r="K70" s="1">
        <f>0.06*572*(22/30)</f>
        <v>25.167999999999999</v>
      </c>
      <c r="L70" s="1">
        <f>K69-K70</f>
        <v>93.632000000000005</v>
      </c>
    </row>
    <row r="71" spans="1:12" ht="17.25" customHeight="1">
      <c r="A71" s="52"/>
      <c r="B71" s="521" t="s">
        <v>335</v>
      </c>
      <c r="C71" s="521"/>
      <c r="D71" s="521"/>
      <c r="E71" s="521"/>
      <c r="F71" s="521"/>
      <c r="G71" s="521"/>
      <c r="H71" s="114">
        <v>2</v>
      </c>
      <c r="I71" s="89"/>
    </row>
    <row r="72" spans="1:12" ht="15.75" customHeight="1">
      <c r="A72" s="52" t="s">
        <v>261</v>
      </c>
      <c r="B72" s="532" t="s">
        <v>46</v>
      </c>
      <c r="C72" s="533"/>
      <c r="D72" s="533"/>
      <c r="E72" s="533"/>
      <c r="F72" s="533"/>
      <c r="G72" s="533"/>
      <c r="H72" s="534"/>
      <c r="I72" s="88">
        <f>ROUND(21*H73*(1-0.175),2)*1+ROUND(21.726*6*(1-0.175),2)*0</f>
        <v>225.23</v>
      </c>
    </row>
    <row r="73" spans="1:12" ht="15.75" customHeight="1">
      <c r="A73" s="52"/>
      <c r="B73" s="519" t="s">
        <v>45</v>
      </c>
      <c r="C73" s="520"/>
      <c r="D73" s="520"/>
      <c r="E73" s="520"/>
      <c r="F73" s="520"/>
      <c r="G73" s="520"/>
      <c r="H73" s="91">
        <v>13</v>
      </c>
      <c r="I73" s="89" t="s">
        <v>227</v>
      </c>
      <c r="K73" s="1">
        <f>2.95*21*2</f>
        <v>123.9</v>
      </c>
    </row>
    <row r="74" spans="1:12" ht="15.75" customHeight="1">
      <c r="A74" s="52" t="s">
        <v>263</v>
      </c>
      <c r="B74" s="532" t="s">
        <v>277</v>
      </c>
      <c r="C74" s="533"/>
      <c r="D74" s="533"/>
      <c r="E74" s="533"/>
      <c r="F74" s="533"/>
      <c r="G74" s="533"/>
      <c r="H74" s="534"/>
      <c r="I74" s="88">
        <v>0</v>
      </c>
    </row>
    <row r="75" spans="1:12" ht="15.75" customHeight="1">
      <c r="A75" s="52" t="s">
        <v>264</v>
      </c>
      <c r="B75" s="652" t="s">
        <v>299</v>
      </c>
      <c r="C75" s="625"/>
      <c r="D75" s="625"/>
      <c r="E75" s="625"/>
      <c r="F75" s="625"/>
      <c r="G75" s="625"/>
      <c r="H75" s="534"/>
      <c r="I75" s="90">
        <v>0</v>
      </c>
    </row>
    <row r="76" spans="1:12" ht="25.5" customHeight="1">
      <c r="A76" s="52" t="s">
        <v>272</v>
      </c>
      <c r="B76" s="532" t="s">
        <v>47</v>
      </c>
      <c r="C76" s="653"/>
      <c r="D76" s="653"/>
      <c r="E76" s="653"/>
      <c r="F76" s="653"/>
      <c r="G76" s="653"/>
      <c r="H76" s="654"/>
      <c r="I76" s="88">
        <f>ROUND(0.001068*5000,2)</f>
        <v>5.34</v>
      </c>
      <c r="K76" s="1">
        <f>0.06*692</f>
        <v>41.519999999999996</v>
      </c>
    </row>
    <row r="77" spans="1:12" ht="30.75" customHeight="1">
      <c r="A77" s="52" t="s">
        <v>273</v>
      </c>
      <c r="B77" s="532" t="s">
        <v>461</v>
      </c>
      <c r="C77" s="533"/>
      <c r="D77" s="533"/>
      <c r="E77" s="533"/>
      <c r="F77" s="533"/>
      <c r="G77" s="533"/>
      <c r="H77" s="654"/>
      <c r="I77" s="90">
        <v>8.4600000000000009</v>
      </c>
      <c r="K77" s="1">
        <f>K73-K76</f>
        <v>82.38000000000001</v>
      </c>
    </row>
    <row r="78" spans="1:12" ht="15.75" customHeight="1">
      <c r="A78" s="52" t="s">
        <v>274</v>
      </c>
      <c r="B78" s="652" t="s">
        <v>408</v>
      </c>
      <c r="C78" s="625"/>
      <c r="D78" s="625"/>
      <c r="E78" s="625"/>
      <c r="F78" s="625"/>
      <c r="G78" s="625"/>
      <c r="H78" s="534"/>
      <c r="I78" s="125" t="s">
        <v>227</v>
      </c>
    </row>
    <row r="79" spans="1:12" ht="15.75" customHeight="1">
      <c r="A79" s="78"/>
      <c r="B79" s="525" t="s">
        <v>358</v>
      </c>
      <c r="C79" s="526"/>
      <c r="D79" s="526"/>
      <c r="E79" s="526"/>
      <c r="F79" s="526"/>
      <c r="G79" s="526"/>
      <c r="H79" s="527"/>
      <c r="I79" s="55">
        <f>SUM(I69:I77)</f>
        <v>330.28999999999996</v>
      </c>
    </row>
    <row r="80" spans="1:12" ht="7.5" customHeight="1">
      <c r="A80" s="647"/>
      <c r="B80" s="655"/>
      <c r="C80" s="655"/>
      <c r="D80" s="655"/>
      <c r="E80" s="655"/>
      <c r="F80" s="655"/>
      <c r="G80" s="655"/>
      <c r="H80" s="655"/>
      <c r="I80" s="656"/>
    </row>
    <row r="81" spans="1:9" ht="15.75" customHeight="1">
      <c r="A81" s="657" t="s">
        <v>300</v>
      </c>
      <c r="B81" s="653"/>
      <c r="C81" s="653"/>
      <c r="D81" s="653"/>
      <c r="E81" s="653"/>
      <c r="F81" s="653"/>
      <c r="G81" s="653"/>
      <c r="H81" s="653"/>
      <c r="I81" s="654"/>
    </row>
    <row r="82" spans="1:9" ht="7.5" customHeight="1">
      <c r="A82" s="659"/>
      <c r="B82" s="660"/>
      <c r="C82" s="660"/>
      <c r="D82" s="660"/>
      <c r="E82" s="660"/>
      <c r="F82" s="660"/>
      <c r="G82" s="660"/>
      <c r="H82" s="660"/>
      <c r="I82" s="661"/>
    </row>
    <row r="83" spans="1:9" ht="30" customHeight="1">
      <c r="A83" s="657" t="s">
        <v>278</v>
      </c>
      <c r="B83" s="658"/>
      <c r="C83" s="658"/>
      <c r="D83" s="658"/>
      <c r="E83" s="658"/>
      <c r="F83" s="658"/>
      <c r="G83" s="658"/>
      <c r="H83" s="658"/>
      <c r="I83" s="399"/>
    </row>
    <row r="84" spans="1:9" ht="15.75" customHeight="1">
      <c r="A84" s="75">
        <v>3</v>
      </c>
      <c r="B84" s="528" t="s">
        <v>359</v>
      </c>
      <c r="C84" s="529"/>
      <c r="D84" s="529"/>
      <c r="E84" s="529"/>
      <c r="F84" s="529"/>
      <c r="G84" s="529"/>
      <c r="H84" s="651"/>
      <c r="I84" s="75" t="s">
        <v>127</v>
      </c>
    </row>
    <row r="85" spans="1:9" ht="17.25" customHeight="1">
      <c r="A85" s="52" t="s">
        <v>259</v>
      </c>
      <c r="B85" s="532" t="s">
        <v>321</v>
      </c>
      <c r="C85" s="533"/>
      <c r="D85" s="533"/>
      <c r="E85" s="533"/>
      <c r="F85" s="533"/>
      <c r="G85" s="533"/>
      <c r="H85" s="629"/>
      <c r="I85" s="88">
        <v>30</v>
      </c>
    </row>
    <row r="86" spans="1:9" ht="15.75" customHeight="1">
      <c r="A86" s="52" t="s">
        <v>261</v>
      </c>
      <c r="B86" s="532" t="s">
        <v>322</v>
      </c>
      <c r="C86" s="533"/>
      <c r="D86" s="533"/>
      <c r="E86" s="533"/>
      <c r="F86" s="533"/>
      <c r="G86" s="533"/>
      <c r="H86" s="629"/>
      <c r="I86" s="90">
        <v>210</v>
      </c>
    </row>
    <row r="87" spans="1:9" ht="15.75" customHeight="1">
      <c r="A87" s="52" t="s">
        <v>263</v>
      </c>
      <c r="B87" s="652" t="s">
        <v>323</v>
      </c>
      <c r="C87" s="625"/>
      <c r="D87" s="625"/>
      <c r="E87" s="625"/>
      <c r="F87" s="625"/>
      <c r="G87" s="625"/>
      <c r="H87" s="624"/>
      <c r="I87" s="90">
        <v>38</v>
      </c>
    </row>
    <row r="88" spans="1:9" ht="15.75" customHeight="1">
      <c r="A88" s="52" t="s">
        <v>264</v>
      </c>
      <c r="B88" s="532" t="s">
        <v>324</v>
      </c>
      <c r="C88" s="533"/>
      <c r="D88" s="533"/>
      <c r="E88" s="533"/>
      <c r="F88" s="533"/>
      <c r="G88" s="533"/>
      <c r="H88" s="629"/>
      <c r="I88" s="90" t="s">
        <v>285</v>
      </c>
    </row>
    <row r="89" spans="1:9" ht="15.75" customHeight="1">
      <c r="A89" s="525" t="s">
        <v>360</v>
      </c>
      <c r="B89" s="637"/>
      <c r="C89" s="637"/>
      <c r="D89" s="637"/>
      <c r="E89" s="637"/>
      <c r="F89" s="637"/>
      <c r="G89" s="637"/>
      <c r="H89" s="638"/>
      <c r="I89" s="54">
        <f>ROUND(SUM(I85:I88),2)</f>
        <v>278</v>
      </c>
    </row>
    <row r="90" spans="1:9" ht="8.25" customHeight="1">
      <c r="A90" s="641"/>
      <c r="B90" s="642"/>
      <c r="C90" s="642"/>
      <c r="D90" s="642"/>
      <c r="E90" s="642"/>
      <c r="F90" s="642"/>
      <c r="G90" s="642"/>
      <c r="H90" s="642"/>
      <c r="I90" s="643"/>
    </row>
    <row r="91" spans="1:9" ht="15.75" customHeight="1">
      <c r="A91" s="666" t="s">
        <v>339</v>
      </c>
      <c r="B91" s="667"/>
      <c r="C91" s="667"/>
      <c r="D91" s="667"/>
      <c r="E91" s="667"/>
      <c r="F91" s="667"/>
      <c r="G91" s="667"/>
      <c r="H91" s="667"/>
      <c r="I91" s="710"/>
    </row>
    <row r="92" spans="1:9" ht="8.25" customHeight="1">
      <c r="A92" s="63"/>
      <c r="B92" s="61"/>
      <c r="C92" s="61"/>
      <c r="D92" s="61"/>
      <c r="E92" s="61"/>
      <c r="F92" s="61"/>
      <c r="G92" s="61"/>
      <c r="H92" s="61"/>
      <c r="I92" s="62"/>
    </row>
    <row r="93" spans="1:9" s="4" customFormat="1" ht="32.25" customHeight="1">
      <c r="A93" s="618" t="s">
        <v>361</v>
      </c>
      <c r="B93" s="431"/>
      <c r="C93" s="431"/>
      <c r="D93" s="431"/>
      <c r="E93" s="431"/>
      <c r="F93" s="431"/>
      <c r="G93" s="431"/>
      <c r="H93" s="431"/>
      <c r="I93" s="340"/>
    </row>
    <row r="94" spans="1:9" s="4" customFormat="1" ht="30" customHeight="1">
      <c r="A94" s="76" t="s">
        <v>279</v>
      </c>
      <c r="B94" s="528" t="s">
        <v>362</v>
      </c>
      <c r="C94" s="529"/>
      <c r="D94" s="529"/>
      <c r="E94" s="529"/>
      <c r="F94" s="529"/>
      <c r="G94" s="626"/>
      <c r="H94" s="53" t="s">
        <v>363</v>
      </c>
      <c r="I94" s="53" t="s">
        <v>364</v>
      </c>
    </row>
    <row r="95" spans="1:9" s="4" customFormat="1" ht="15.75" customHeight="1">
      <c r="A95" s="83" t="s">
        <v>259</v>
      </c>
      <c r="B95" s="545" t="s">
        <v>128</v>
      </c>
      <c r="C95" s="546"/>
      <c r="D95" s="546"/>
      <c r="E95" s="546"/>
      <c r="F95" s="546"/>
      <c r="G95" s="547"/>
      <c r="H95" s="92">
        <v>0.2</v>
      </c>
      <c r="I95" s="51">
        <f>ROUND($I$66*H95,2)</f>
        <v>180.96</v>
      </c>
    </row>
    <row r="96" spans="1:9" s="4" customFormat="1" ht="15.75" customHeight="1">
      <c r="A96" s="83" t="s">
        <v>261</v>
      </c>
      <c r="B96" s="545" t="s">
        <v>129</v>
      </c>
      <c r="C96" s="546"/>
      <c r="D96" s="546"/>
      <c r="E96" s="546"/>
      <c r="F96" s="546"/>
      <c r="G96" s="547"/>
      <c r="H96" s="92">
        <v>1.4999999999999999E-2</v>
      </c>
      <c r="I96" s="51">
        <f t="shared" ref="I96:I102" si="0">ROUND($I$66*H96,2)</f>
        <v>13.57</v>
      </c>
    </row>
    <row r="97" spans="1:9" s="4" customFormat="1" ht="15.75" customHeight="1">
      <c r="A97" s="83" t="s">
        <v>263</v>
      </c>
      <c r="B97" s="545" t="s">
        <v>130</v>
      </c>
      <c r="C97" s="546"/>
      <c r="D97" s="546"/>
      <c r="E97" s="546"/>
      <c r="F97" s="546"/>
      <c r="G97" s="547"/>
      <c r="H97" s="92">
        <v>0.01</v>
      </c>
      <c r="I97" s="51">
        <f t="shared" si="0"/>
        <v>9.0500000000000007</v>
      </c>
    </row>
    <row r="98" spans="1:9" s="4" customFormat="1" ht="15.75" customHeight="1">
      <c r="A98" s="83" t="s">
        <v>264</v>
      </c>
      <c r="B98" s="545" t="s">
        <v>131</v>
      </c>
      <c r="C98" s="546"/>
      <c r="D98" s="546"/>
      <c r="E98" s="546"/>
      <c r="F98" s="546"/>
      <c r="G98" s="547"/>
      <c r="H98" s="92">
        <v>2E-3</v>
      </c>
      <c r="I98" s="51">
        <f t="shared" si="0"/>
        <v>1.81</v>
      </c>
    </row>
    <row r="99" spans="1:9" ht="15.75" customHeight="1">
      <c r="A99" s="83" t="s">
        <v>272</v>
      </c>
      <c r="B99" s="532" t="s">
        <v>301</v>
      </c>
      <c r="C99" s="533"/>
      <c r="D99" s="533"/>
      <c r="E99" s="533"/>
      <c r="F99" s="533"/>
      <c r="G99" s="629"/>
      <c r="H99" s="57">
        <v>2.5000000000000001E-2</v>
      </c>
      <c r="I99" s="51">
        <f t="shared" si="0"/>
        <v>22.62</v>
      </c>
    </row>
    <row r="100" spans="1:9" ht="15.75" customHeight="1">
      <c r="A100" s="83" t="s">
        <v>273</v>
      </c>
      <c r="B100" s="532" t="s">
        <v>132</v>
      </c>
      <c r="C100" s="533"/>
      <c r="D100" s="533"/>
      <c r="E100" s="533"/>
      <c r="F100" s="533"/>
      <c r="G100" s="629"/>
      <c r="H100" s="57">
        <v>0.08</v>
      </c>
      <c r="I100" s="51">
        <f t="shared" si="0"/>
        <v>72.38</v>
      </c>
    </row>
    <row r="101" spans="1:9" ht="55.5" customHeight="1">
      <c r="A101" s="83" t="s">
        <v>274</v>
      </c>
      <c r="B101" s="507" t="s">
        <v>343</v>
      </c>
      <c r="C101" s="727"/>
      <c r="D101" s="111" t="s">
        <v>342</v>
      </c>
      <c r="E101" s="112">
        <v>0.03</v>
      </c>
      <c r="F101" s="111" t="s">
        <v>344</v>
      </c>
      <c r="G101" s="113">
        <v>1</v>
      </c>
      <c r="H101" s="109">
        <f>ROUND((E101*G101),6)</f>
        <v>0.03</v>
      </c>
      <c r="I101" s="51">
        <f>ROUND($I$66*H101,2)</f>
        <v>27.14</v>
      </c>
    </row>
    <row r="102" spans="1:9" ht="15.75" customHeight="1">
      <c r="A102" s="83" t="s">
        <v>275</v>
      </c>
      <c r="B102" s="532" t="s">
        <v>133</v>
      </c>
      <c r="C102" s="533"/>
      <c r="D102" s="533"/>
      <c r="E102" s="533"/>
      <c r="F102" s="533"/>
      <c r="G102" s="629"/>
      <c r="H102" s="57">
        <v>6.0000000000000001E-3</v>
      </c>
      <c r="I102" s="51">
        <f t="shared" si="0"/>
        <v>5.43</v>
      </c>
    </row>
    <row r="103" spans="1:9" ht="15.75" customHeight="1">
      <c r="A103" s="525" t="s">
        <v>134</v>
      </c>
      <c r="B103" s="536"/>
      <c r="C103" s="536"/>
      <c r="D103" s="536"/>
      <c r="E103" s="536"/>
      <c r="F103" s="536"/>
      <c r="G103" s="537"/>
      <c r="H103" s="110">
        <f>SUM(H95:H102)</f>
        <v>0.3680000000000001</v>
      </c>
      <c r="I103" s="55">
        <f>SUM(I95:I102)</f>
        <v>332.96</v>
      </c>
    </row>
    <row r="104" spans="1:9" ht="8.25" customHeight="1">
      <c r="A104" s="64"/>
      <c r="B104" s="65"/>
      <c r="C104" s="65"/>
      <c r="D104" s="65"/>
      <c r="E104" s="65"/>
      <c r="F104" s="65"/>
      <c r="G104" s="65"/>
      <c r="H104" s="66"/>
      <c r="I104" s="67"/>
    </row>
    <row r="105" spans="1:9" ht="38.25" customHeight="1">
      <c r="A105" s="644" t="s">
        <v>387</v>
      </c>
      <c r="B105" s="645"/>
      <c r="C105" s="645"/>
      <c r="D105" s="645"/>
      <c r="E105" s="645"/>
      <c r="F105" s="645"/>
      <c r="G105" s="645"/>
      <c r="H105" s="645"/>
      <c r="I105" s="646"/>
    </row>
    <row r="106" spans="1:9" ht="7.5" customHeight="1">
      <c r="A106" s="647"/>
      <c r="B106" s="642"/>
      <c r="C106" s="642"/>
      <c r="D106" s="642"/>
      <c r="E106" s="642"/>
      <c r="F106" s="642"/>
      <c r="G106" s="642"/>
      <c r="H106" s="642"/>
      <c r="I106" s="643"/>
    </row>
    <row r="107" spans="1:9" ht="18" customHeight="1">
      <c r="A107" s="539" t="s">
        <v>365</v>
      </c>
      <c r="B107" s="639"/>
      <c r="C107" s="639"/>
      <c r="D107" s="639"/>
      <c r="E107" s="639"/>
      <c r="F107" s="639"/>
      <c r="G107" s="639"/>
      <c r="H107" s="639"/>
      <c r="I107" s="640"/>
    </row>
    <row r="108" spans="1:9" ht="15.75" customHeight="1">
      <c r="A108" s="75" t="s">
        <v>280</v>
      </c>
      <c r="B108" s="528" t="s">
        <v>367</v>
      </c>
      <c r="C108" s="529"/>
      <c r="D108" s="529"/>
      <c r="E108" s="529"/>
      <c r="F108" s="529"/>
      <c r="G108" s="529"/>
      <c r="H108" s="636"/>
      <c r="I108" s="75" t="s">
        <v>127</v>
      </c>
    </row>
    <row r="109" spans="1:9" ht="15.75" customHeight="1">
      <c r="A109" s="52" t="s">
        <v>259</v>
      </c>
      <c r="B109" s="545" t="s">
        <v>366</v>
      </c>
      <c r="C109" s="546"/>
      <c r="D109" s="546"/>
      <c r="E109" s="546"/>
      <c r="F109" s="546"/>
      <c r="G109" s="546"/>
      <c r="H109" s="629"/>
      <c r="I109" s="51">
        <f>ROUND($I$66/12,2)</f>
        <v>75.400000000000006</v>
      </c>
    </row>
    <row r="110" spans="1:9" ht="15.75" customHeight="1">
      <c r="A110" s="525" t="s">
        <v>281</v>
      </c>
      <c r="B110" s="526"/>
      <c r="C110" s="526"/>
      <c r="D110" s="526"/>
      <c r="E110" s="526"/>
      <c r="F110" s="526"/>
      <c r="G110" s="526"/>
      <c r="H110" s="511"/>
      <c r="I110" s="108">
        <f>SUM(I109:I109)</f>
        <v>75.400000000000006</v>
      </c>
    </row>
    <row r="111" spans="1:9" ht="21" customHeight="1">
      <c r="A111" s="52" t="s">
        <v>261</v>
      </c>
      <c r="B111" s="633" t="s">
        <v>429</v>
      </c>
      <c r="C111" s="634"/>
      <c r="D111" s="634"/>
      <c r="E111" s="634"/>
      <c r="F111" s="634"/>
      <c r="G111" s="634"/>
      <c r="H111" s="635"/>
      <c r="I111" s="93">
        <f>ROUND(H103*I110,2)</f>
        <v>27.75</v>
      </c>
    </row>
    <row r="112" spans="1:9" ht="15.75" customHeight="1">
      <c r="A112" s="548" t="s">
        <v>134</v>
      </c>
      <c r="B112" s="549"/>
      <c r="C112" s="549"/>
      <c r="D112" s="549"/>
      <c r="E112" s="549"/>
      <c r="F112" s="549"/>
      <c r="G112" s="549"/>
      <c r="H112" s="649"/>
      <c r="I112" s="56">
        <f>SUM(I110:I111)</f>
        <v>103.15</v>
      </c>
    </row>
    <row r="113" spans="1:11" ht="10.5" customHeight="1">
      <c r="A113" s="659"/>
      <c r="B113" s="691"/>
      <c r="C113" s="691"/>
      <c r="D113" s="691"/>
      <c r="E113" s="691"/>
      <c r="F113" s="691"/>
      <c r="G113" s="691"/>
      <c r="H113" s="691"/>
      <c r="I113" s="692"/>
    </row>
    <row r="114" spans="1:11" ht="24.75" customHeight="1">
      <c r="A114" s="539" t="s">
        <v>368</v>
      </c>
      <c r="B114" s="540"/>
      <c r="C114" s="540"/>
      <c r="D114" s="540"/>
      <c r="E114" s="540"/>
      <c r="F114" s="540"/>
      <c r="G114" s="540"/>
      <c r="H114" s="540"/>
      <c r="I114" s="541"/>
      <c r="K114" s="1">
        <f>1/12</f>
        <v>8.3333333333333329E-2</v>
      </c>
    </row>
    <row r="115" spans="1:11" ht="15.75" customHeight="1">
      <c r="A115" s="75" t="s">
        <v>282</v>
      </c>
      <c r="B115" s="542" t="s">
        <v>287</v>
      </c>
      <c r="C115" s="543"/>
      <c r="D115" s="543"/>
      <c r="E115" s="543"/>
      <c r="F115" s="543"/>
      <c r="G115" s="543"/>
      <c r="H115" s="544"/>
      <c r="I115" s="75" t="s">
        <v>127</v>
      </c>
    </row>
    <row r="116" spans="1:11" ht="15.75" customHeight="1">
      <c r="A116" s="52" t="s">
        <v>259</v>
      </c>
      <c r="B116" s="532" t="s">
        <v>337</v>
      </c>
      <c r="C116" s="533"/>
      <c r="D116" s="533"/>
      <c r="E116" s="533"/>
      <c r="F116" s="533"/>
      <c r="G116" s="533"/>
      <c r="H116" s="629"/>
      <c r="I116" s="51">
        <f>ROUND(((($I$66+$I$66/3)*4/12)/12)*0.02,2)</f>
        <v>0.67</v>
      </c>
    </row>
    <row r="117" spans="1:11" ht="15.75" customHeight="1">
      <c r="A117" s="52" t="s">
        <v>261</v>
      </c>
      <c r="B117" s="532" t="s">
        <v>424</v>
      </c>
      <c r="C117" s="533"/>
      <c r="D117" s="533"/>
      <c r="E117" s="533"/>
      <c r="F117" s="533"/>
      <c r="G117" s="533"/>
      <c r="H117" s="629"/>
      <c r="I117" s="51">
        <f>ROUND(H103*I116,2)</f>
        <v>0.25</v>
      </c>
    </row>
    <row r="118" spans="1:11" ht="15.75" customHeight="1">
      <c r="A118" s="525" t="s">
        <v>134</v>
      </c>
      <c r="B118" s="650"/>
      <c r="C118" s="650"/>
      <c r="D118" s="650"/>
      <c r="E118" s="650"/>
      <c r="F118" s="650"/>
      <c r="G118" s="650"/>
      <c r="H118" s="388"/>
      <c r="I118" s="55">
        <f>SUM(I116:I117)</f>
        <v>0.92</v>
      </c>
    </row>
    <row r="119" spans="1:11" s="4" customFormat="1" ht="26.25" customHeight="1">
      <c r="A119" s="630" t="s">
        <v>369</v>
      </c>
      <c r="B119" s="631"/>
      <c r="C119" s="631"/>
      <c r="D119" s="631"/>
      <c r="E119" s="631"/>
      <c r="F119" s="631"/>
      <c r="G119" s="631"/>
      <c r="H119" s="631"/>
      <c r="I119" s="632"/>
    </row>
    <row r="120" spans="1:11" s="4" customFormat="1" ht="15.75" customHeight="1">
      <c r="A120" s="75" t="s">
        <v>283</v>
      </c>
      <c r="B120" s="542" t="s">
        <v>370</v>
      </c>
      <c r="C120" s="543"/>
      <c r="D120" s="543"/>
      <c r="E120" s="543"/>
      <c r="F120" s="543"/>
      <c r="G120" s="543"/>
      <c r="H120" s="544"/>
      <c r="I120" s="75" t="s">
        <v>127</v>
      </c>
    </row>
    <row r="121" spans="1:11" s="4" customFormat="1" ht="55.5" customHeight="1">
      <c r="A121" s="52" t="s">
        <v>259</v>
      </c>
      <c r="B121" s="545" t="s">
        <v>36</v>
      </c>
      <c r="C121" s="546"/>
      <c r="D121" s="546"/>
      <c r="E121" s="546"/>
      <c r="F121" s="546"/>
      <c r="G121" s="546"/>
      <c r="H121" s="547"/>
      <c r="I121" s="51">
        <f>ROUND((($I$66/12)+($I$109/12)+($I$130/12))*(30/30)*0.05,2)</f>
        <v>4.5</v>
      </c>
    </row>
    <row r="122" spans="1:11" s="4" customFormat="1" ht="15.75" customHeight="1">
      <c r="A122" s="52" t="s">
        <v>261</v>
      </c>
      <c r="B122" s="538" t="s">
        <v>371</v>
      </c>
      <c r="C122" s="538"/>
      <c r="D122" s="538"/>
      <c r="E122" s="538"/>
      <c r="F122" s="538"/>
      <c r="G122" s="538"/>
      <c r="H122" s="538"/>
      <c r="I122" s="51">
        <f>ROUND($H$100*I121,2)</f>
        <v>0.36</v>
      </c>
    </row>
    <row r="123" spans="1:11" s="4" customFormat="1" ht="24.75" customHeight="1">
      <c r="A123" s="52" t="s">
        <v>263</v>
      </c>
      <c r="B123" s="545" t="s">
        <v>456</v>
      </c>
      <c r="C123" s="546"/>
      <c r="D123" s="546"/>
      <c r="E123" s="546"/>
      <c r="F123" s="546"/>
      <c r="G123" s="546"/>
      <c r="H123" s="547"/>
      <c r="I123" s="51">
        <f>ROUND(0.08*0.5*($I$66+$I$109+$I$130)*0.05,2)</f>
        <v>2.16</v>
      </c>
    </row>
    <row r="124" spans="1:11" s="4" customFormat="1" ht="29.25" customHeight="1">
      <c r="A124" s="52" t="s">
        <v>264</v>
      </c>
      <c r="B124" s="648" t="s">
        <v>27</v>
      </c>
      <c r="C124" s="538"/>
      <c r="D124" s="538"/>
      <c r="E124" s="538"/>
      <c r="F124" s="538"/>
      <c r="G124" s="538"/>
      <c r="H124" s="538"/>
      <c r="I124" s="51">
        <f>ROUND(((($I$66/30)*7)/$H$11)*0.9,2)</f>
        <v>15.83</v>
      </c>
    </row>
    <row r="125" spans="1:11" s="4" customFormat="1" ht="15.75" customHeight="1">
      <c r="A125" s="52" t="s">
        <v>272</v>
      </c>
      <c r="B125" s="538" t="s">
        <v>423</v>
      </c>
      <c r="C125" s="538"/>
      <c r="D125" s="538"/>
      <c r="E125" s="538"/>
      <c r="F125" s="538"/>
      <c r="G125" s="538"/>
      <c r="H125" s="538"/>
      <c r="I125" s="51">
        <f>ROUND($H$103*I124,2)</f>
        <v>5.83</v>
      </c>
    </row>
    <row r="126" spans="1:11" s="4" customFormat="1" ht="24.75" customHeight="1">
      <c r="A126" s="52" t="s">
        <v>273</v>
      </c>
      <c r="B126" s="545" t="s">
        <v>457</v>
      </c>
      <c r="C126" s="546"/>
      <c r="D126" s="546"/>
      <c r="E126" s="546"/>
      <c r="F126" s="546"/>
      <c r="G126" s="546"/>
      <c r="H126" s="547"/>
      <c r="I126" s="51">
        <f>ROUND(0.08*0.5*($I$66+$I$109+$I$130)*0.9,2)</f>
        <v>38.909999999999997</v>
      </c>
    </row>
    <row r="127" spans="1:11" s="4" customFormat="1" ht="15.75" customHeight="1">
      <c r="A127" s="548" t="s">
        <v>134</v>
      </c>
      <c r="B127" s="549"/>
      <c r="C127" s="549"/>
      <c r="D127" s="549"/>
      <c r="E127" s="549"/>
      <c r="F127" s="549"/>
      <c r="G127" s="549"/>
      <c r="H127" s="549"/>
      <c r="I127" s="55">
        <f>SUM(I121:I126)</f>
        <v>67.59</v>
      </c>
    </row>
    <row r="128" spans="1:11" ht="24" customHeight="1">
      <c r="A128" s="539" t="s">
        <v>349</v>
      </c>
      <c r="B128" s="540"/>
      <c r="C128" s="540"/>
      <c r="D128" s="540"/>
      <c r="E128" s="540"/>
      <c r="F128" s="540"/>
      <c r="G128" s="540"/>
      <c r="H128" s="540"/>
      <c r="I128" s="541"/>
    </row>
    <row r="129" spans="1:11" ht="15.75" customHeight="1">
      <c r="A129" s="77" t="s">
        <v>284</v>
      </c>
      <c r="B129" s="542" t="s">
        <v>350</v>
      </c>
      <c r="C129" s="543"/>
      <c r="D129" s="543"/>
      <c r="E129" s="543"/>
      <c r="F129" s="543"/>
      <c r="G129" s="543"/>
      <c r="H129" s="544"/>
      <c r="I129" s="77" t="s">
        <v>127</v>
      </c>
    </row>
    <row r="130" spans="1:11" ht="15.75" customHeight="1">
      <c r="A130" s="94" t="s">
        <v>259</v>
      </c>
      <c r="B130" s="538" t="s">
        <v>351</v>
      </c>
      <c r="C130" s="538"/>
      <c r="D130" s="538"/>
      <c r="E130" s="538"/>
      <c r="F130" s="538"/>
      <c r="G130" s="538"/>
      <c r="H130" s="538"/>
      <c r="I130" s="51">
        <f>ROUND($I$66/12,2)+ROUND(($I$66/3)/12,2)</f>
        <v>100.53</v>
      </c>
    </row>
    <row r="131" spans="1:11" ht="15.75" customHeight="1">
      <c r="A131" s="94" t="s">
        <v>261</v>
      </c>
      <c r="B131" s="538" t="s">
        <v>348</v>
      </c>
      <c r="C131" s="538"/>
      <c r="D131" s="538"/>
      <c r="E131" s="538"/>
      <c r="F131" s="538"/>
      <c r="G131" s="538"/>
      <c r="H131" s="538"/>
      <c r="I131" s="95">
        <f>ROUND(((($I$66/30)*5)/12),2)</f>
        <v>12.57</v>
      </c>
    </row>
    <row r="132" spans="1:11" ht="15.75" customHeight="1">
      <c r="A132" s="94" t="s">
        <v>263</v>
      </c>
      <c r="B132" s="538" t="s">
        <v>346</v>
      </c>
      <c r="C132" s="538"/>
      <c r="D132" s="538"/>
      <c r="E132" s="538"/>
      <c r="F132" s="538"/>
      <c r="G132" s="538"/>
      <c r="H132" s="538"/>
      <c r="I132" s="95">
        <f>ROUND((($I$66/30)*5)/12*0.015,2)</f>
        <v>0.19</v>
      </c>
    </row>
    <row r="133" spans="1:11" ht="15.75" customHeight="1">
      <c r="A133" s="94" t="s">
        <v>264</v>
      </c>
      <c r="B133" s="538" t="s">
        <v>345</v>
      </c>
      <c r="C133" s="538"/>
      <c r="D133" s="538"/>
      <c r="E133" s="538"/>
      <c r="F133" s="538"/>
      <c r="G133" s="538"/>
      <c r="H133" s="538"/>
      <c r="I133" s="95">
        <f>ROUND((($I$66/30)*2.96)/12,2)</f>
        <v>7.44</v>
      </c>
    </row>
    <row r="134" spans="1:11" ht="15.75" customHeight="1">
      <c r="A134" s="94" t="s">
        <v>272</v>
      </c>
      <c r="B134" s="538" t="s">
        <v>112</v>
      </c>
      <c r="C134" s="538"/>
      <c r="D134" s="538"/>
      <c r="E134" s="538"/>
      <c r="F134" s="538"/>
      <c r="G134" s="538"/>
      <c r="H134" s="538"/>
      <c r="I134" s="96">
        <f>ROUND(((($I$66/30)*15)/12)*0.0078,2)</f>
        <v>0.28999999999999998</v>
      </c>
    </row>
    <row r="135" spans="1:11" ht="15.75" customHeight="1">
      <c r="A135" s="94" t="s">
        <v>273</v>
      </c>
      <c r="B135" s="538" t="s">
        <v>126</v>
      </c>
      <c r="C135" s="538"/>
      <c r="D135" s="538"/>
      <c r="E135" s="538"/>
      <c r="F135" s="538"/>
      <c r="G135" s="538"/>
      <c r="H135" s="538"/>
      <c r="I135" s="96">
        <v>0</v>
      </c>
    </row>
    <row r="136" spans="1:11" ht="15.75" customHeight="1">
      <c r="A136" s="548" t="s">
        <v>281</v>
      </c>
      <c r="B136" s="548"/>
      <c r="C136" s="548"/>
      <c r="D136" s="548"/>
      <c r="E136" s="548"/>
      <c r="F136" s="548"/>
      <c r="G136" s="548"/>
      <c r="H136" s="548"/>
      <c r="I136" s="58">
        <f>SUM(I130:I135)</f>
        <v>121.02</v>
      </c>
    </row>
    <row r="137" spans="1:11" ht="18" customHeight="1">
      <c r="A137" s="94" t="s">
        <v>274</v>
      </c>
      <c r="B137" s="519" t="s">
        <v>425</v>
      </c>
      <c r="C137" s="520"/>
      <c r="D137" s="520"/>
      <c r="E137" s="520"/>
      <c r="F137" s="520"/>
      <c r="G137" s="520"/>
      <c r="H137" s="742"/>
      <c r="I137" s="96">
        <f>ROUND(H103*I136,2)</f>
        <v>44.54</v>
      </c>
    </row>
    <row r="138" spans="1:11" ht="15.75" customHeight="1">
      <c r="A138" s="548" t="s">
        <v>134</v>
      </c>
      <c r="B138" s="548"/>
      <c r="C138" s="548"/>
      <c r="D138" s="548"/>
      <c r="E138" s="548"/>
      <c r="F138" s="548"/>
      <c r="G138" s="548"/>
      <c r="H138" s="548"/>
      <c r="I138" s="55">
        <f>SUM(I136:I137)</f>
        <v>165.56</v>
      </c>
    </row>
    <row r="139" spans="1:11" ht="28.5" customHeight="1">
      <c r="A139" s="630" t="s">
        <v>373</v>
      </c>
      <c r="B139" s="631"/>
      <c r="C139" s="631"/>
      <c r="D139" s="631"/>
      <c r="E139" s="631"/>
      <c r="F139" s="631"/>
      <c r="G139" s="631"/>
      <c r="H139" s="631"/>
      <c r="I139" s="632"/>
    </row>
    <row r="140" spans="1:11" ht="15.75" customHeight="1">
      <c r="A140" s="75">
        <v>4</v>
      </c>
      <c r="B140" s="528" t="s">
        <v>372</v>
      </c>
      <c r="C140" s="529"/>
      <c r="D140" s="529"/>
      <c r="E140" s="529"/>
      <c r="F140" s="529"/>
      <c r="G140" s="529"/>
      <c r="H140" s="626"/>
      <c r="I140" s="75" t="s">
        <v>127</v>
      </c>
    </row>
    <row r="141" spans="1:11" ht="15.75" customHeight="1">
      <c r="A141" s="52" t="s">
        <v>279</v>
      </c>
      <c r="B141" s="507" t="s">
        <v>362</v>
      </c>
      <c r="C141" s="507"/>
      <c r="D141" s="507"/>
      <c r="E141" s="507"/>
      <c r="F141" s="507"/>
      <c r="G141" s="507"/>
      <c r="H141" s="507"/>
      <c r="I141" s="88">
        <f>I103</f>
        <v>332.96</v>
      </c>
    </row>
    <row r="142" spans="1:11" ht="15.75" customHeight="1">
      <c r="A142" s="52" t="s">
        <v>280</v>
      </c>
      <c r="B142" s="507" t="s">
        <v>367</v>
      </c>
      <c r="C142" s="507"/>
      <c r="D142" s="507"/>
      <c r="E142" s="507"/>
      <c r="F142" s="507"/>
      <c r="G142" s="507"/>
      <c r="H142" s="507"/>
      <c r="I142" s="88">
        <f>I112</f>
        <v>103.15</v>
      </c>
    </row>
    <row r="143" spans="1:11" ht="15.75" customHeight="1">
      <c r="A143" s="52" t="s">
        <v>282</v>
      </c>
      <c r="B143" s="507" t="s">
        <v>287</v>
      </c>
      <c r="C143" s="507"/>
      <c r="D143" s="507"/>
      <c r="E143" s="507"/>
      <c r="F143" s="507"/>
      <c r="G143" s="507"/>
      <c r="H143" s="507"/>
      <c r="I143" s="88">
        <f>I118</f>
        <v>0.92</v>
      </c>
    </row>
    <row r="144" spans="1:11" ht="15.75" customHeight="1">
      <c r="A144" s="52" t="s">
        <v>283</v>
      </c>
      <c r="B144" s="507" t="s">
        <v>288</v>
      </c>
      <c r="C144" s="507"/>
      <c r="D144" s="507"/>
      <c r="E144" s="507"/>
      <c r="F144" s="507"/>
      <c r="G144" s="507"/>
      <c r="H144" s="507"/>
      <c r="I144" s="88">
        <f>I127</f>
        <v>67.59</v>
      </c>
      <c r="K144" s="47"/>
    </row>
    <row r="145" spans="1:9" ht="15.75" customHeight="1">
      <c r="A145" s="52" t="s">
        <v>284</v>
      </c>
      <c r="B145" s="507" t="s">
        <v>289</v>
      </c>
      <c r="C145" s="507"/>
      <c r="D145" s="507"/>
      <c r="E145" s="507"/>
      <c r="F145" s="507"/>
      <c r="G145" s="507"/>
      <c r="H145" s="507"/>
      <c r="I145" s="88">
        <f>I138</f>
        <v>165.56</v>
      </c>
    </row>
    <row r="146" spans="1:9" ht="15.75" customHeight="1">
      <c r="A146" s="52" t="s">
        <v>286</v>
      </c>
      <c r="B146" s="507" t="s">
        <v>126</v>
      </c>
      <c r="C146" s="507"/>
      <c r="D146" s="507"/>
      <c r="E146" s="507"/>
      <c r="F146" s="507"/>
      <c r="G146" s="507"/>
      <c r="H146" s="507"/>
      <c r="I146" s="88">
        <v>0</v>
      </c>
    </row>
    <row r="147" spans="1:9" ht="15.75" customHeight="1">
      <c r="A147" s="525" t="s">
        <v>134</v>
      </c>
      <c r="B147" s="536"/>
      <c r="C147" s="536"/>
      <c r="D147" s="536"/>
      <c r="E147" s="536"/>
      <c r="F147" s="536"/>
      <c r="G147" s="536"/>
      <c r="H147" s="537"/>
      <c r="I147" s="55">
        <f>SUM(I141:I146)</f>
        <v>670.18000000000006</v>
      </c>
    </row>
    <row r="148" spans="1:9" s="4" customFormat="1" ht="29.25" customHeight="1">
      <c r="A148" s="707" t="s">
        <v>333</v>
      </c>
      <c r="B148" s="708"/>
      <c r="C148" s="708"/>
      <c r="D148" s="708"/>
      <c r="E148" s="708"/>
      <c r="F148" s="708"/>
      <c r="G148" s="708"/>
      <c r="H148" s="708"/>
      <c r="I148" s="708"/>
    </row>
    <row r="149" spans="1:9" ht="32.25" customHeight="1">
      <c r="A149" s="75">
        <v>5</v>
      </c>
      <c r="B149" s="542" t="s">
        <v>374</v>
      </c>
      <c r="C149" s="543"/>
      <c r="D149" s="543"/>
      <c r="E149" s="543"/>
      <c r="F149" s="543"/>
      <c r="G149" s="544"/>
      <c r="H149" s="53" t="s">
        <v>363</v>
      </c>
      <c r="I149" s="116" t="s">
        <v>388</v>
      </c>
    </row>
    <row r="150" spans="1:9" ht="40.5" customHeight="1">
      <c r="A150" s="728" t="s">
        <v>317</v>
      </c>
      <c r="B150" s="729"/>
      <c r="C150" s="729"/>
      <c r="D150" s="729"/>
      <c r="E150" s="729"/>
      <c r="F150" s="729"/>
      <c r="G150" s="730"/>
      <c r="H150" s="69" t="s">
        <v>227</v>
      </c>
      <c r="I150" s="97">
        <f>SUM(I66+I79+I89+I147)</f>
        <v>2183.27</v>
      </c>
    </row>
    <row r="151" spans="1:9" ht="15.75" customHeight="1">
      <c r="A151" s="115" t="s">
        <v>259</v>
      </c>
      <c r="B151" s="709" t="s">
        <v>375</v>
      </c>
      <c r="C151" s="709"/>
      <c r="D151" s="709"/>
      <c r="E151" s="709"/>
      <c r="F151" s="709"/>
      <c r="G151" s="709"/>
      <c r="H151" s="57">
        <v>0.03</v>
      </c>
      <c r="I151" s="51">
        <f>ROUND(H151*I150,2)</f>
        <v>65.5</v>
      </c>
    </row>
    <row r="152" spans="1:9" ht="37.5" customHeight="1">
      <c r="A152" s="728" t="s">
        <v>318</v>
      </c>
      <c r="B152" s="731"/>
      <c r="C152" s="731"/>
      <c r="D152" s="731"/>
      <c r="E152" s="731"/>
      <c r="F152" s="731"/>
      <c r="G152" s="732"/>
      <c r="H152" s="70" t="s">
        <v>227</v>
      </c>
      <c r="I152" s="97">
        <f>SUM(I66+I79+I89+I147+I151)</f>
        <v>2248.77</v>
      </c>
    </row>
    <row r="153" spans="1:9" ht="15.75" customHeight="1">
      <c r="A153" s="115" t="s">
        <v>261</v>
      </c>
      <c r="B153" s="709" t="s">
        <v>290</v>
      </c>
      <c r="C153" s="709"/>
      <c r="D153" s="709"/>
      <c r="E153" s="709"/>
      <c r="F153" s="709"/>
      <c r="G153" s="709"/>
      <c r="H153" s="57">
        <v>6.7900000000000002E-2</v>
      </c>
      <c r="I153" s="51">
        <f>ROUND(H153*I152,2)</f>
        <v>152.69</v>
      </c>
    </row>
    <row r="154" spans="1:9" ht="45" customHeight="1">
      <c r="A154" s="728" t="s">
        <v>336</v>
      </c>
      <c r="B154" s="731"/>
      <c r="C154" s="731"/>
      <c r="D154" s="731"/>
      <c r="E154" s="731"/>
      <c r="F154" s="731"/>
      <c r="G154" s="732"/>
      <c r="H154" s="70" t="s">
        <v>227</v>
      </c>
      <c r="I154" s="97">
        <f>SUM(I66+I79+I89+I147+I151+I153)</f>
        <v>2401.46</v>
      </c>
    </row>
    <row r="155" spans="1:9" ht="15.75" customHeight="1">
      <c r="A155" s="52" t="s">
        <v>263</v>
      </c>
      <c r="B155" s="738" t="s">
        <v>291</v>
      </c>
      <c r="C155" s="738"/>
      <c r="D155" s="738"/>
      <c r="E155" s="738"/>
      <c r="F155" s="738"/>
      <c r="G155" s="738"/>
      <c r="H155" s="72" t="s">
        <v>227</v>
      </c>
      <c r="I155" s="73" t="s">
        <v>227</v>
      </c>
    </row>
    <row r="156" spans="1:9" ht="15.75" customHeight="1">
      <c r="A156" s="52"/>
      <c r="B156" s="738" t="s">
        <v>376</v>
      </c>
      <c r="C156" s="738"/>
      <c r="D156" s="738"/>
      <c r="E156" s="738"/>
      <c r="F156" s="738"/>
      <c r="G156" s="738"/>
      <c r="H156" s="72" t="s">
        <v>227</v>
      </c>
      <c r="I156" s="73" t="s">
        <v>227</v>
      </c>
    </row>
    <row r="157" spans="1:9" ht="17.25" customHeight="1">
      <c r="A157" s="52"/>
      <c r="B157" s="733" t="s">
        <v>377</v>
      </c>
      <c r="C157" s="734"/>
      <c r="D157" s="734"/>
      <c r="E157" s="734"/>
      <c r="F157" s="734"/>
      <c r="G157" s="735"/>
      <c r="H157" s="48">
        <v>7.5999999999999998E-2</v>
      </c>
      <c r="I157" s="51">
        <f>ROUND(($I$154/(1-$H$165))*H157,2)</f>
        <v>206.81</v>
      </c>
    </row>
    <row r="158" spans="1:9" ht="16.5" customHeight="1">
      <c r="A158" s="52"/>
      <c r="B158" s="733" t="s">
        <v>378</v>
      </c>
      <c r="C158" s="734"/>
      <c r="D158" s="734"/>
      <c r="E158" s="734"/>
      <c r="F158" s="734"/>
      <c r="G158" s="735"/>
      <c r="H158" s="48">
        <v>1.6500000000000001E-2</v>
      </c>
      <c r="I158" s="51">
        <f>ROUND(($I$154/(1-$H$165))*H158,2)</f>
        <v>44.9</v>
      </c>
    </row>
    <row r="159" spans="1:9" ht="29.25" customHeight="1">
      <c r="A159" s="52"/>
      <c r="B159" s="728" t="s">
        <v>308</v>
      </c>
      <c r="C159" s="736"/>
      <c r="D159" s="736"/>
      <c r="E159" s="736"/>
      <c r="F159" s="736"/>
      <c r="G159" s="737"/>
      <c r="H159" s="71" t="s">
        <v>227</v>
      </c>
      <c r="I159" s="73" t="s">
        <v>227</v>
      </c>
    </row>
    <row r="160" spans="1:9" ht="18" customHeight="1">
      <c r="A160" s="52"/>
      <c r="B160" s="627" t="s">
        <v>380</v>
      </c>
      <c r="C160" s="628"/>
      <c r="D160" s="628"/>
      <c r="E160" s="628"/>
      <c r="F160" s="628"/>
      <c r="G160" s="628"/>
      <c r="H160" s="71" t="s">
        <v>227</v>
      </c>
      <c r="I160" s="73" t="s">
        <v>227</v>
      </c>
    </row>
    <row r="161" spans="1:11" ht="18" customHeight="1">
      <c r="A161" s="52"/>
      <c r="B161" s="545" t="s">
        <v>381</v>
      </c>
      <c r="C161" s="533"/>
      <c r="D161" s="533"/>
      <c r="E161" s="533"/>
      <c r="F161" s="533"/>
      <c r="G161" s="533"/>
      <c r="H161" s="71" t="s">
        <v>227</v>
      </c>
      <c r="I161" s="73" t="s">
        <v>227</v>
      </c>
    </row>
    <row r="162" spans="1:11" ht="15" customHeight="1">
      <c r="A162" s="52"/>
      <c r="B162" s="733" t="s">
        <v>379</v>
      </c>
      <c r="C162" s="734"/>
      <c r="D162" s="734"/>
      <c r="E162" s="734"/>
      <c r="F162" s="734"/>
      <c r="G162" s="735"/>
      <c r="H162" s="48">
        <v>2.5000000000000001E-2</v>
      </c>
      <c r="I162" s="51">
        <f>ROUND(($I$154/(1-$H$165))*H162,2)</f>
        <v>68.03</v>
      </c>
    </row>
    <row r="163" spans="1:11" ht="15.75" customHeight="1">
      <c r="A163" s="525" t="s">
        <v>134</v>
      </c>
      <c r="B163" s="536"/>
      <c r="C163" s="536"/>
      <c r="D163" s="536"/>
      <c r="E163" s="536"/>
      <c r="F163" s="536"/>
      <c r="G163" s="536"/>
      <c r="H163" s="537"/>
      <c r="I163" s="55">
        <f>SUM(I151+I153+I157+I158+I162)</f>
        <v>537.92999999999995</v>
      </c>
    </row>
    <row r="164" spans="1:11" ht="6.75" customHeight="1">
      <c r="A164" s="739"/>
      <c r="B164" s="740"/>
      <c r="C164" s="740"/>
      <c r="D164" s="740"/>
      <c r="E164" s="740"/>
      <c r="F164" s="740"/>
      <c r="G164" s="740"/>
      <c r="H164" s="740"/>
      <c r="I164" s="741"/>
    </row>
    <row r="165" spans="1:11" ht="15.75" customHeight="1">
      <c r="A165" s="705" t="s">
        <v>302</v>
      </c>
      <c r="B165" s="706"/>
      <c r="C165" s="706"/>
      <c r="D165" s="706"/>
      <c r="E165" s="706"/>
      <c r="F165" s="706"/>
      <c r="G165" s="706"/>
      <c r="H165" s="98">
        <f>SUM(H157:H162)</f>
        <v>0.11749999999999999</v>
      </c>
      <c r="I165" s="34">
        <f>SUM(I157:I162)</f>
        <v>319.74</v>
      </c>
    </row>
    <row r="166" spans="1:11" ht="12.75" customHeight="1">
      <c r="A166" s="695" t="s">
        <v>292</v>
      </c>
      <c r="B166" s="696"/>
      <c r="C166" s="703" t="s">
        <v>294</v>
      </c>
      <c r="D166" s="704"/>
      <c r="E166" s="704"/>
      <c r="F166" s="704"/>
      <c r="G166" s="704"/>
      <c r="H166" s="704"/>
      <c r="I166" s="704"/>
    </row>
    <row r="167" spans="1:11" ht="12" customHeight="1">
      <c r="A167" s="697"/>
      <c r="B167" s="698"/>
      <c r="C167" s="723" t="s">
        <v>293</v>
      </c>
      <c r="D167" s="724"/>
      <c r="E167" s="724"/>
      <c r="F167" s="724"/>
      <c r="G167" s="724"/>
      <c r="H167" s="724"/>
      <c r="I167" s="724"/>
    </row>
    <row r="168" spans="1:11" ht="13.5" customHeight="1">
      <c r="A168" s="699"/>
      <c r="B168" s="700"/>
      <c r="C168" s="725" t="s">
        <v>295</v>
      </c>
      <c r="D168" s="726"/>
      <c r="E168" s="726"/>
      <c r="F168" s="726"/>
      <c r="G168" s="726"/>
      <c r="H168" s="726"/>
      <c r="I168" s="726"/>
    </row>
    <row r="169" spans="1:11" ht="6.75" customHeight="1">
      <c r="A169" s="701"/>
      <c r="B169" s="702"/>
      <c r="C169" s="702"/>
      <c r="D169" s="702"/>
      <c r="E169" s="702"/>
      <c r="F169" s="702"/>
      <c r="G169" s="702"/>
      <c r="H169" s="702"/>
      <c r="I169" s="702"/>
    </row>
    <row r="170" spans="1:11" ht="32.25" customHeight="1">
      <c r="A170" s="545" t="s">
        <v>382</v>
      </c>
      <c r="B170" s="533"/>
      <c r="C170" s="533"/>
      <c r="D170" s="533"/>
      <c r="E170" s="533"/>
      <c r="F170" s="533"/>
      <c r="G170" s="533"/>
      <c r="H170" s="533"/>
      <c r="I170" s="629"/>
    </row>
    <row r="171" spans="1:11" ht="5.25" customHeight="1">
      <c r="A171" s="693"/>
      <c r="B171" s="694"/>
      <c r="C171" s="694"/>
      <c r="D171" s="694"/>
      <c r="E171" s="694"/>
      <c r="F171" s="694"/>
      <c r="G171" s="694"/>
      <c r="H171" s="694"/>
      <c r="I171" s="694"/>
    </row>
    <row r="172" spans="1:11" ht="45" customHeight="1">
      <c r="A172" s="748" t="s">
        <v>383</v>
      </c>
      <c r="B172" s="749"/>
      <c r="C172" s="749"/>
      <c r="D172" s="749"/>
      <c r="E172" s="749"/>
      <c r="F172" s="749"/>
      <c r="G172" s="749"/>
      <c r="H172" s="749"/>
      <c r="I172" s="750"/>
    </row>
    <row r="173" spans="1:11" ht="15" customHeight="1">
      <c r="A173" s="528" t="s">
        <v>114</v>
      </c>
      <c r="B173" s="746"/>
      <c r="C173" s="746"/>
      <c r="D173" s="746"/>
      <c r="E173" s="746"/>
      <c r="F173" s="746"/>
      <c r="G173" s="746"/>
      <c r="H173" s="747"/>
      <c r="I173" s="35" t="s">
        <v>127</v>
      </c>
    </row>
    <row r="174" spans="1:11" ht="15" customHeight="1">
      <c r="A174" s="99" t="s">
        <v>259</v>
      </c>
      <c r="B174" s="533" t="s">
        <v>384</v>
      </c>
      <c r="C174" s="533"/>
      <c r="D174" s="533"/>
      <c r="E174" s="533"/>
      <c r="F174" s="533"/>
      <c r="G174" s="533"/>
      <c r="H174" s="533"/>
      <c r="I174" s="90">
        <f>I66</f>
        <v>904.8</v>
      </c>
      <c r="K174" s="59"/>
    </row>
    <row r="175" spans="1:11" ht="15" customHeight="1">
      <c r="A175" s="99" t="s">
        <v>261</v>
      </c>
      <c r="B175" s="533" t="s">
        <v>101</v>
      </c>
      <c r="C175" s="533"/>
      <c r="D175" s="533"/>
      <c r="E175" s="533"/>
      <c r="F175" s="533"/>
      <c r="G175" s="533"/>
      <c r="H175" s="533"/>
      <c r="I175" s="90">
        <f>I79</f>
        <v>330.28999999999996</v>
      </c>
    </row>
    <row r="176" spans="1:11" ht="15" customHeight="1">
      <c r="A176" s="99" t="s">
        <v>263</v>
      </c>
      <c r="B176" s="533" t="s">
        <v>102</v>
      </c>
      <c r="C176" s="533"/>
      <c r="D176" s="533"/>
      <c r="E176" s="533"/>
      <c r="F176" s="533"/>
      <c r="G176" s="533"/>
      <c r="H176" s="533"/>
      <c r="I176" s="90">
        <f>I89</f>
        <v>278</v>
      </c>
    </row>
    <row r="177" spans="1:9" ht="15" customHeight="1">
      <c r="A177" s="99" t="s">
        <v>264</v>
      </c>
      <c r="B177" s="533" t="s">
        <v>372</v>
      </c>
      <c r="C177" s="533"/>
      <c r="D177" s="533"/>
      <c r="E177" s="533"/>
      <c r="F177" s="533"/>
      <c r="G177" s="533"/>
      <c r="H177" s="533"/>
      <c r="I177" s="90">
        <f>I147</f>
        <v>670.18000000000006</v>
      </c>
    </row>
    <row r="178" spans="1:9" ht="15" customHeight="1">
      <c r="A178" s="617" t="s">
        <v>115</v>
      </c>
      <c r="B178" s="387"/>
      <c r="C178" s="387"/>
      <c r="D178" s="387"/>
      <c r="E178" s="387"/>
      <c r="F178" s="387"/>
      <c r="G178" s="387"/>
      <c r="H178" s="387"/>
      <c r="I178" s="54">
        <f>SUM(I174:I177)</f>
        <v>2183.27</v>
      </c>
    </row>
    <row r="179" spans="1:9" ht="15" customHeight="1">
      <c r="A179" s="117" t="s">
        <v>272</v>
      </c>
      <c r="B179" s="533" t="s">
        <v>103</v>
      </c>
      <c r="C179" s="533"/>
      <c r="D179" s="533"/>
      <c r="E179" s="533"/>
      <c r="F179" s="533"/>
      <c r="G179" s="533"/>
      <c r="H179" s="533"/>
      <c r="I179" s="90">
        <f>I163</f>
        <v>537.92999999999995</v>
      </c>
    </row>
    <row r="180" spans="1:9" ht="15" customHeight="1">
      <c r="A180" s="617" t="s">
        <v>104</v>
      </c>
      <c r="B180" s="387"/>
      <c r="C180" s="387"/>
      <c r="D180" s="387"/>
      <c r="E180" s="387"/>
      <c r="F180" s="387"/>
      <c r="G180" s="387"/>
      <c r="H180" s="387"/>
      <c r="I180" s="54">
        <f>SUM(I178:I179)</f>
        <v>2721.2</v>
      </c>
    </row>
    <row r="181" spans="1:9" ht="30.75" customHeight="1">
      <c r="A181" s="755" t="s">
        <v>307</v>
      </c>
      <c r="B181" s="756"/>
      <c r="C181" s="756"/>
      <c r="D181" s="756"/>
      <c r="E181" s="756"/>
      <c r="F181" s="756"/>
      <c r="G181" s="756"/>
      <c r="H181" s="756"/>
      <c r="I181" s="757"/>
    </row>
    <row r="182" spans="1:9" ht="48.75" customHeight="1">
      <c r="A182" s="751" t="s">
        <v>105</v>
      </c>
      <c r="B182" s="752"/>
      <c r="C182" s="752"/>
      <c r="D182" s="752"/>
      <c r="E182" s="752"/>
      <c r="F182" s="752"/>
      <c r="G182" s="752"/>
      <c r="H182" s="752"/>
      <c r="I182" s="753"/>
    </row>
    <row r="183" spans="1:9" ht="63" customHeight="1">
      <c r="A183" s="758" t="s">
        <v>117</v>
      </c>
      <c r="B183" s="754"/>
      <c r="C183" s="754" t="s">
        <v>116</v>
      </c>
      <c r="D183" s="754"/>
      <c r="E183" s="104" t="s">
        <v>118</v>
      </c>
      <c r="F183" s="754" t="s">
        <v>119</v>
      </c>
      <c r="G183" s="754"/>
      <c r="H183" s="103" t="s">
        <v>120</v>
      </c>
      <c r="I183" s="103" t="s">
        <v>121</v>
      </c>
    </row>
    <row r="184" spans="1:9" ht="14.25" customHeight="1">
      <c r="A184" s="475" t="s">
        <v>122</v>
      </c>
      <c r="B184" s="535"/>
      <c r="C184" s="535" t="s">
        <v>305</v>
      </c>
      <c r="D184" s="535"/>
      <c r="E184" s="106"/>
      <c r="F184" s="535" t="s">
        <v>305</v>
      </c>
      <c r="G184" s="535"/>
      <c r="H184" s="107"/>
      <c r="I184" s="105" t="s">
        <v>305</v>
      </c>
    </row>
    <row r="185" spans="1:9" ht="15.75" customHeight="1">
      <c r="A185" s="475" t="s">
        <v>304</v>
      </c>
      <c r="B185" s="535"/>
      <c r="C185" s="535" t="s">
        <v>305</v>
      </c>
      <c r="D185" s="535"/>
      <c r="E185" s="106"/>
      <c r="F185" s="535" t="s">
        <v>305</v>
      </c>
      <c r="G185" s="535"/>
      <c r="H185" s="107"/>
      <c r="I185" s="105" t="s">
        <v>305</v>
      </c>
    </row>
    <row r="186" spans="1:9" ht="12.75">
      <c r="A186" s="475" t="s">
        <v>303</v>
      </c>
      <c r="B186" s="535"/>
      <c r="C186" s="535" t="s">
        <v>305</v>
      </c>
      <c r="D186" s="535"/>
      <c r="E186" s="105"/>
      <c r="F186" s="535" t="s">
        <v>305</v>
      </c>
      <c r="G186" s="535"/>
      <c r="H186" s="105"/>
      <c r="I186" s="105" t="s">
        <v>305</v>
      </c>
    </row>
    <row r="187" spans="1:9" ht="12.75">
      <c r="A187" s="462" t="s">
        <v>106</v>
      </c>
      <c r="B187" s="463"/>
      <c r="C187" s="463"/>
      <c r="D187" s="463"/>
      <c r="E187" s="463"/>
      <c r="F187" s="463"/>
      <c r="G187" s="463"/>
      <c r="H187" s="463"/>
      <c r="I187" s="105"/>
    </row>
    <row r="188" spans="1:9" ht="42" customHeight="1">
      <c r="A188" s="751" t="s">
        <v>107</v>
      </c>
      <c r="B188" s="523"/>
      <c r="C188" s="523"/>
      <c r="D188" s="523"/>
      <c r="E188" s="523"/>
      <c r="F188" s="523"/>
      <c r="G188" s="523"/>
      <c r="H188" s="523"/>
      <c r="I188" s="524"/>
    </row>
    <row r="189" spans="1:9" ht="21.75" customHeight="1">
      <c r="A189" s="751" t="s">
        <v>108</v>
      </c>
      <c r="B189" s="523"/>
      <c r="C189" s="523"/>
      <c r="D189" s="523"/>
      <c r="E189" s="523"/>
      <c r="F189" s="523"/>
      <c r="G189" s="523"/>
      <c r="H189" s="523"/>
      <c r="I189" s="524"/>
    </row>
    <row r="190" spans="1:9" ht="18" customHeight="1">
      <c r="A190" s="522" t="s">
        <v>123</v>
      </c>
      <c r="B190" s="523"/>
      <c r="C190" s="523"/>
      <c r="D190" s="523"/>
      <c r="E190" s="523"/>
      <c r="F190" s="523"/>
      <c r="G190" s="523"/>
      <c r="H190" s="524"/>
      <c r="I190" s="103" t="s">
        <v>127</v>
      </c>
    </row>
    <row r="191" spans="1:9" ht="12.75">
      <c r="A191" s="743" t="s">
        <v>390</v>
      </c>
      <c r="B191" s="734"/>
      <c r="C191" s="734"/>
      <c r="D191" s="734"/>
      <c r="E191" s="734"/>
      <c r="F191" s="734"/>
      <c r="G191" s="734"/>
      <c r="H191" s="735"/>
      <c r="I191" s="105"/>
    </row>
    <row r="192" spans="1:9" ht="12.75">
      <c r="A192" s="743" t="s">
        <v>124</v>
      </c>
      <c r="B192" s="734"/>
      <c r="C192" s="734"/>
      <c r="D192" s="734"/>
      <c r="E192" s="734"/>
      <c r="F192" s="734"/>
      <c r="G192" s="734"/>
      <c r="H192" s="735"/>
      <c r="I192" s="105"/>
    </row>
    <row r="193" spans="1:13" ht="21" customHeight="1">
      <c r="A193" s="743" t="s">
        <v>389</v>
      </c>
      <c r="B193" s="744"/>
      <c r="C193" s="744"/>
      <c r="D193" s="744"/>
      <c r="E193" s="744"/>
      <c r="F193" s="744"/>
      <c r="G193" s="744"/>
      <c r="H193" s="745"/>
      <c r="I193" s="105"/>
    </row>
    <row r="194" spans="1:13" ht="6.75" customHeight="1">
      <c r="A194" s="477"/>
      <c r="B194" s="478"/>
      <c r="C194" s="478"/>
      <c r="D194" s="478"/>
      <c r="E194" s="478"/>
      <c r="F194" s="478"/>
      <c r="G194" s="478"/>
      <c r="H194" s="478"/>
      <c r="I194" s="479"/>
    </row>
    <row r="195" spans="1:13" ht="15.75" customHeight="1">
      <c r="A195" s="475" t="s">
        <v>109</v>
      </c>
      <c r="B195" s="476"/>
      <c r="C195" s="476"/>
      <c r="D195" s="476"/>
      <c r="E195" s="476"/>
      <c r="F195" s="476"/>
      <c r="G195" s="476"/>
      <c r="H195" s="476"/>
      <c r="I195" s="476"/>
    </row>
    <row r="196" spans="1:13" ht="7.5" customHeight="1">
      <c r="A196" s="460"/>
      <c r="B196" s="461"/>
      <c r="C196" s="461"/>
      <c r="D196" s="461"/>
      <c r="E196" s="461"/>
      <c r="F196" s="461"/>
      <c r="G196" s="461"/>
      <c r="H196" s="461"/>
      <c r="I196" s="461"/>
    </row>
    <row r="197" spans="1:13" ht="15" hidden="1" customHeight="1">
      <c r="A197" s="26"/>
      <c r="B197" s="26"/>
      <c r="C197" s="26"/>
      <c r="D197" s="26"/>
      <c r="E197" s="26"/>
      <c r="F197" s="26"/>
      <c r="G197" s="26"/>
      <c r="H197" s="24"/>
      <c r="I197" s="41"/>
      <c r="J197" s="16"/>
      <c r="K197" s="9"/>
      <c r="L197" s="3"/>
      <c r="M197" s="10"/>
    </row>
    <row r="198" spans="1:13" ht="24" customHeight="1">
      <c r="A198" s="480" t="s">
        <v>306</v>
      </c>
      <c r="B198" s="480"/>
      <c r="C198" s="480"/>
      <c r="D198" s="480"/>
      <c r="E198" s="480"/>
      <c r="F198" s="480"/>
      <c r="G198" s="480"/>
      <c r="H198" s="480"/>
      <c r="I198" s="481"/>
    </row>
    <row r="199" spans="1:13" ht="15.75">
      <c r="A199" s="609" t="s">
        <v>162</v>
      </c>
      <c r="B199" s="609"/>
      <c r="C199" s="609"/>
      <c r="D199" s="609"/>
      <c r="E199" s="609"/>
      <c r="F199" s="609"/>
      <c r="G199" s="609"/>
      <c r="H199" s="609"/>
      <c r="I199" s="610"/>
    </row>
    <row r="200" spans="1:13" ht="11.45" customHeight="1">
      <c r="A200" s="19"/>
      <c r="B200" s="19"/>
      <c r="C200" s="19"/>
      <c r="D200" s="19"/>
      <c r="E200" s="19"/>
      <c r="F200" s="19"/>
      <c r="G200" s="19"/>
      <c r="H200" s="19"/>
      <c r="I200" s="38"/>
    </row>
    <row r="201" spans="1:13" ht="21" customHeight="1">
      <c r="A201" s="482" t="s">
        <v>110</v>
      </c>
      <c r="B201" s="482"/>
      <c r="C201" s="482"/>
      <c r="D201" s="482"/>
      <c r="E201" s="482"/>
      <c r="F201" s="482"/>
      <c r="G201" s="482"/>
      <c r="H201" s="482"/>
      <c r="I201" s="481"/>
    </row>
    <row r="202" spans="1:13" ht="48" customHeight="1">
      <c r="A202" s="611" t="s">
        <v>391</v>
      </c>
      <c r="B202" s="611"/>
      <c r="C202" s="611"/>
      <c r="D202" s="611"/>
      <c r="E202" s="611"/>
      <c r="F202" s="611"/>
      <c r="G202" s="611"/>
      <c r="H202" s="611"/>
      <c r="I202" s="612"/>
    </row>
    <row r="203" spans="1:13" ht="45" customHeight="1">
      <c r="A203" s="579" t="s">
        <v>225</v>
      </c>
      <c r="B203" s="447"/>
      <c r="C203" s="400" t="s">
        <v>148</v>
      </c>
      <c r="D203" s="400"/>
      <c r="E203" s="400" t="s">
        <v>149</v>
      </c>
      <c r="F203" s="400"/>
      <c r="G203" s="338" t="s">
        <v>150</v>
      </c>
      <c r="H203" s="339"/>
      <c r="I203" s="340"/>
    </row>
    <row r="204" spans="1:13" ht="14.25" customHeight="1">
      <c r="A204" s="366" t="s">
        <v>229</v>
      </c>
      <c r="B204" s="367"/>
      <c r="C204" s="613" t="s">
        <v>185</v>
      </c>
      <c r="D204" s="613"/>
      <c r="E204" s="341">
        <v>0</v>
      </c>
      <c r="F204" s="341"/>
      <c r="G204" s="345">
        <v>0</v>
      </c>
      <c r="H204" s="346"/>
      <c r="I204" s="337"/>
    </row>
    <row r="205" spans="1:13" ht="12" customHeight="1">
      <c r="A205" s="366" t="s">
        <v>230</v>
      </c>
      <c r="B205" s="367"/>
      <c r="C205" s="356" t="s">
        <v>186</v>
      </c>
      <c r="D205" s="356"/>
      <c r="E205" s="351">
        <f>I180</f>
        <v>2721.2</v>
      </c>
      <c r="F205" s="352"/>
      <c r="G205" s="357">
        <f>ROUND((1/600)*E205,2)</f>
        <v>4.54</v>
      </c>
      <c r="H205" s="358"/>
      <c r="I205" s="340"/>
    </row>
    <row r="206" spans="1:13" ht="12" customHeight="1">
      <c r="A206" s="370" t="s">
        <v>134</v>
      </c>
      <c r="B206" s="371"/>
      <c r="C206" s="372"/>
      <c r="D206" s="372"/>
      <c r="E206" s="372"/>
      <c r="F206" s="373"/>
      <c r="G206" s="357">
        <f>SUM(G204+G205)</f>
        <v>4.54</v>
      </c>
      <c r="H206" s="358"/>
      <c r="I206" s="340"/>
    </row>
    <row r="207" spans="1:13" ht="6.75" customHeight="1">
      <c r="A207" s="464"/>
      <c r="B207" s="465"/>
      <c r="C207" s="466"/>
      <c r="D207" s="466"/>
      <c r="E207" s="466"/>
      <c r="F207" s="466"/>
      <c r="G207" s="466"/>
      <c r="H207" s="466"/>
      <c r="I207" s="467"/>
    </row>
    <row r="208" spans="1:13" ht="12" customHeight="1">
      <c r="A208" s="595" t="s">
        <v>231</v>
      </c>
      <c r="B208" s="596"/>
      <c r="C208" s="353" t="s">
        <v>185</v>
      </c>
      <c r="D208" s="353"/>
      <c r="E208" s="344">
        <v>0</v>
      </c>
      <c r="F208" s="344"/>
      <c r="G208" s="345">
        <v>0</v>
      </c>
      <c r="H208" s="346"/>
      <c r="I208" s="337"/>
    </row>
    <row r="209" spans="1:256" ht="12.75">
      <c r="A209" s="366" t="s">
        <v>232</v>
      </c>
      <c r="B209" s="367"/>
      <c r="C209" s="356" t="s">
        <v>186</v>
      </c>
      <c r="D209" s="356"/>
      <c r="E209" s="341">
        <f>I180</f>
        <v>2721.2</v>
      </c>
      <c r="F209" s="341"/>
      <c r="G209" s="591">
        <f>ROUND((1/600)*E209,2)</f>
        <v>4.54</v>
      </c>
      <c r="H209" s="592"/>
      <c r="I209" s="337"/>
    </row>
    <row r="210" spans="1:256" ht="12.75">
      <c r="A210" s="362" t="s">
        <v>134</v>
      </c>
      <c r="B210" s="363"/>
      <c r="C210" s="364"/>
      <c r="D210" s="364"/>
      <c r="E210" s="364"/>
      <c r="F210" s="365"/>
      <c r="G210" s="357">
        <f>SUM(G208+G209)</f>
        <v>4.54</v>
      </c>
      <c r="H210" s="358"/>
      <c r="I210" s="340"/>
    </row>
    <row r="211" spans="1:256" ht="6.75" customHeight="1">
      <c r="A211" s="464"/>
      <c r="B211" s="465"/>
      <c r="C211" s="407"/>
      <c r="D211" s="407"/>
      <c r="E211" s="407"/>
      <c r="F211" s="407"/>
      <c r="G211" s="407"/>
      <c r="H211" s="407"/>
      <c r="I211" s="467"/>
      <c r="K211" s="8"/>
    </row>
    <row r="212" spans="1:256" ht="12.75">
      <c r="A212" s="355" t="s">
        <v>245</v>
      </c>
      <c r="B212" s="355"/>
      <c r="C212" s="353" t="s">
        <v>311</v>
      </c>
      <c r="D212" s="353"/>
      <c r="E212" s="588">
        <v>0</v>
      </c>
      <c r="F212" s="588"/>
      <c r="G212" s="356">
        <v>0</v>
      </c>
      <c r="H212" s="356"/>
      <c r="I212" s="397"/>
    </row>
    <row r="213" spans="1:256" ht="12.75">
      <c r="A213" s="368" t="s">
        <v>233</v>
      </c>
      <c r="B213" s="368"/>
      <c r="C213" s="356" t="s">
        <v>187</v>
      </c>
      <c r="D213" s="356"/>
      <c r="E213" s="342">
        <v>0</v>
      </c>
      <c r="F213" s="343"/>
      <c r="G213" s="356">
        <v>0</v>
      </c>
      <c r="H213" s="468"/>
      <c r="I213" s="397"/>
    </row>
    <row r="214" spans="1:256" ht="12.75">
      <c r="A214" s="362" t="s">
        <v>134</v>
      </c>
      <c r="B214" s="363"/>
      <c r="C214" s="364"/>
      <c r="D214" s="364"/>
      <c r="E214" s="364"/>
      <c r="F214" s="365"/>
      <c r="G214" s="469">
        <f>SUM(G212+G213)</f>
        <v>0</v>
      </c>
      <c r="H214" s="470"/>
      <c r="I214" s="471"/>
    </row>
    <row r="215" spans="1:256" ht="6" customHeight="1">
      <c r="A215" s="472"/>
      <c r="B215" s="472"/>
      <c r="C215" s="473"/>
      <c r="D215" s="473"/>
      <c r="E215" s="473"/>
      <c r="F215" s="473"/>
      <c r="G215" s="473"/>
      <c r="H215" s="473"/>
      <c r="I215" s="474"/>
    </row>
    <row r="216" spans="1:256" ht="13.5" customHeight="1">
      <c r="A216" s="354" t="s">
        <v>246</v>
      </c>
      <c r="B216" s="355"/>
      <c r="C216" s="353" t="s">
        <v>188</v>
      </c>
      <c r="D216" s="353"/>
      <c r="E216" s="344">
        <v>0</v>
      </c>
      <c r="F216" s="344"/>
      <c r="G216" s="345">
        <v>0</v>
      </c>
      <c r="H216" s="346"/>
      <c r="I216" s="337"/>
      <c r="J216" s="454"/>
      <c r="K216" s="454"/>
      <c r="L216" s="454"/>
      <c r="M216" s="454"/>
      <c r="N216" s="454"/>
      <c r="O216" s="454"/>
      <c r="P216" s="454"/>
      <c r="Q216" s="410" t="s">
        <v>165</v>
      </c>
      <c r="R216" s="410"/>
      <c r="S216" s="410"/>
      <c r="T216" s="410"/>
      <c r="U216" s="410"/>
      <c r="V216" s="410"/>
      <c r="W216" s="410"/>
      <c r="X216" s="410"/>
      <c r="Y216" s="410" t="s">
        <v>165</v>
      </c>
      <c r="Z216" s="410"/>
      <c r="AA216" s="410"/>
      <c r="AB216" s="410"/>
      <c r="AC216" s="410"/>
      <c r="AD216" s="410"/>
      <c r="AE216" s="410"/>
      <c r="AF216" s="410"/>
      <c r="AG216" s="410" t="s">
        <v>165</v>
      </c>
      <c r="AH216" s="410"/>
      <c r="AI216" s="410"/>
      <c r="AJ216" s="410"/>
      <c r="AK216" s="410"/>
      <c r="AL216" s="410"/>
      <c r="AM216" s="410"/>
      <c r="AN216" s="410"/>
      <c r="AO216" s="410" t="s">
        <v>165</v>
      </c>
      <c r="AP216" s="410"/>
      <c r="AQ216" s="410"/>
      <c r="AR216" s="410"/>
      <c r="AS216" s="410"/>
      <c r="AT216" s="410"/>
      <c r="AU216" s="410"/>
      <c r="AV216" s="410"/>
      <c r="AW216" s="410" t="s">
        <v>165</v>
      </c>
      <c r="AX216" s="410"/>
      <c r="AY216" s="410"/>
      <c r="AZ216" s="410"/>
      <c r="BA216" s="410"/>
      <c r="BB216" s="410"/>
      <c r="BC216" s="410"/>
      <c r="BD216" s="410"/>
      <c r="BE216" s="410" t="s">
        <v>165</v>
      </c>
      <c r="BF216" s="410"/>
      <c r="BG216" s="410"/>
      <c r="BH216" s="410"/>
      <c r="BI216" s="410"/>
      <c r="BJ216" s="410"/>
      <c r="BK216" s="410"/>
      <c r="BL216" s="410"/>
      <c r="BM216" s="410" t="s">
        <v>165</v>
      </c>
      <c r="BN216" s="410"/>
      <c r="BO216" s="410"/>
      <c r="BP216" s="410"/>
      <c r="BQ216" s="410"/>
      <c r="BR216" s="410"/>
      <c r="BS216" s="410"/>
      <c r="BT216" s="410"/>
      <c r="BU216" s="410" t="s">
        <v>165</v>
      </c>
      <c r="BV216" s="410"/>
      <c r="BW216" s="410"/>
      <c r="BX216" s="410"/>
      <c r="BY216" s="413"/>
      <c r="BZ216" s="414"/>
      <c r="CA216" s="414"/>
      <c r="CB216" s="414"/>
      <c r="CC216" s="410" t="s">
        <v>165</v>
      </c>
      <c r="CD216" s="410"/>
      <c r="CE216" s="410"/>
      <c r="CF216" s="410"/>
      <c r="CG216" s="410"/>
      <c r="CH216" s="410"/>
      <c r="CI216" s="410"/>
      <c r="CJ216" s="410"/>
      <c r="CK216" s="410" t="s">
        <v>165</v>
      </c>
      <c r="CL216" s="410"/>
      <c r="CM216" s="410"/>
      <c r="CN216" s="410"/>
      <c r="CO216" s="410"/>
      <c r="CP216" s="410"/>
      <c r="CQ216" s="410"/>
      <c r="CR216" s="410"/>
      <c r="CS216" s="410" t="s">
        <v>165</v>
      </c>
      <c r="CT216" s="410"/>
      <c r="CU216" s="410"/>
      <c r="CV216" s="410"/>
      <c r="CW216" s="410"/>
      <c r="CX216" s="410"/>
      <c r="CY216" s="410"/>
      <c r="CZ216" s="410"/>
      <c r="DA216" s="410" t="s">
        <v>165</v>
      </c>
      <c r="DB216" s="410"/>
      <c r="DC216" s="410"/>
      <c r="DD216" s="410"/>
      <c r="DE216" s="410"/>
      <c r="DF216" s="410"/>
      <c r="DG216" s="410"/>
      <c r="DH216" s="410"/>
      <c r="DI216" s="410" t="s">
        <v>165</v>
      </c>
      <c r="DJ216" s="410"/>
      <c r="DK216" s="410"/>
      <c r="DL216" s="410"/>
      <c r="DM216" s="410"/>
      <c r="DN216" s="410"/>
      <c r="DO216" s="410"/>
      <c r="DP216" s="410"/>
      <c r="DQ216" s="410" t="s">
        <v>165</v>
      </c>
      <c r="DR216" s="410"/>
      <c r="DS216" s="410"/>
      <c r="DT216" s="410"/>
      <c r="DU216" s="410"/>
      <c r="DV216" s="410"/>
      <c r="DW216" s="410"/>
      <c r="DX216" s="410"/>
      <c r="DY216" s="410" t="s">
        <v>165</v>
      </c>
      <c r="DZ216" s="410"/>
      <c r="EA216" s="410"/>
      <c r="EB216" s="410"/>
      <c r="EC216" s="410"/>
      <c r="ED216" s="410"/>
      <c r="EE216" s="410"/>
      <c r="EF216" s="410"/>
      <c r="EG216" s="410" t="s">
        <v>165</v>
      </c>
      <c r="EH216" s="410"/>
      <c r="EI216" s="410"/>
      <c r="EJ216" s="410"/>
      <c r="EK216" s="410"/>
      <c r="EL216" s="410"/>
      <c r="EM216" s="410"/>
      <c r="EN216" s="410"/>
      <c r="EO216" s="410" t="s">
        <v>165</v>
      </c>
      <c r="EP216" s="410"/>
      <c r="EQ216" s="410"/>
      <c r="ER216" s="410"/>
      <c r="ES216" s="410"/>
      <c r="ET216" s="410"/>
      <c r="EU216" s="410"/>
      <c r="EV216" s="410"/>
      <c r="EW216" s="410" t="s">
        <v>165</v>
      </c>
      <c r="EX216" s="410"/>
      <c r="EY216" s="410"/>
      <c r="EZ216" s="410"/>
      <c r="FA216" s="410"/>
      <c r="FB216" s="410"/>
      <c r="FC216" s="410"/>
      <c r="FD216" s="410"/>
      <c r="FE216" s="410" t="s">
        <v>165</v>
      </c>
      <c r="FF216" s="410"/>
      <c r="FG216" s="410"/>
      <c r="FH216" s="410"/>
      <c r="FI216" s="410"/>
      <c r="FJ216" s="410"/>
      <c r="FK216" s="410"/>
      <c r="FL216" s="410"/>
      <c r="FM216" s="410" t="s">
        <v>165</v>
      </c>
      <c r="FN216" s="410"/>
      <c r="FO216" s="410"/>
      <c r="FP216" s="410"/>
      <c r="FQ216" s="410"/>
      <c r="FR216" s="410"/>
      <c r="FS216" s="410"/>
      <c r="FT216" s="410"/>
      <c r="FU216" s="410" t="s">
        <v>165</v>
      </c>
      <c r="FV216" s="410"/>
      <c r="FW216" s="410"/>
      <c r="FX216" s="410"/>
      <c r="FY216" s="410"/>
      <c r="FZ216" s="410"/>
      <c r="GA216" s="410"/>
      <c r="GB216" s="410"/>
      <c r="GC216" s="410" t="s">
        <v>165</v>
      </c>
      <c r="GD216" s="410"/>
      <c r="GE216" s="410"/>
      <c r="GF216" s="410"/>
      <c r="GG216" s="410"/>
      <c r="GH216" s="410"/>
      <c r="GI216" s="410"/>
      <c r="GJ216" s="410"/>
      <c r="GK216" s="410" t="s">
        <v>165</v>
      </c>
      <c r="GL216" s="410"/>
      <c r="GM216" s="410"/>
      <c r="GN216" s="410"/>
      <c r="GO216" s="410"/>
      <c r="GP216" s="410"/>
      <c r="GQ216" s="410"/>
      <c r="GR216" s="410"/>
      <c r="GS216" s="410" t="s">
        <v>165</v>
      </c>
      <c r="GT216" s="410"/>
      <c r="GU216" s="410"/>
      <c r="GV216" s="410"/>
      <c r="GW216" s="410"/>
      <c r="GX216" s="410"/>
      <c r="GY216" s="410"/>
      <c r="GZ216" s="410"/>
      <c r="HA216" s="410" t="s">
        <v>165</v>
      </c>
      <c r="HB216" s="410"/>
      <c r="HC216" s="410"/>
      <c r="HD216" s="410"/>
      <c r="HE216" s="410"/>
      <c r="HF216" s="410"/>
      <c r="HG216" s="410"/>
      <c r="HH216" s="410"/>
      <c r="HI216" s="410" t="s">
        <v>165</v>
      </c>
      <c r="HJ216" s="410"/>
      <c r="HK216" s="410"/>
      <c r="HL216" s="410"/>
      <c r="HM216" s="410"/>
      <c r="HN216" s="410"/>
      <c r="HO216" s="410"/>
      <c r="HP216" s="410"/>
      <c r="HQ216" s="410" t="s">
        <v>165</v>
      </c>
      <c r="HR216" s="410"/>
      <c r="HS216" s="410"/>
      <c r="HT216" s="410"/>
      <c r="HU216" s="410"/>
      <c r="HV216" s="410"/>
      <c r="HW216" s="410"/>
      <c r="HX216" s="410"/>
      <c r="HY216" s="410" t="s">
        <v>165</v>
      </c>
      <c r="HZ216" s="410"/>
      <c r="IA216" s="410"/>
      <c r="IB216" s="410"/>
      <c r="IC216" s="410"/>
      <c r="ID216" s="410"/>
      <c r="IE216" s="410"/>
      <c r="IF216" s="410"/>
      <c r="IG216" s="410" t="s">
        <v>165</v>
      </c>
      <c r="IH216" s="410"/>
      <c r="II216" s="410"/>
      <c r="IJ216" s="410"/>
      <c r="IK216" s="410"/>
      <c r="IL216" s="410"/>
      <c r="IM216" s="410"/>
      <c r="IN216" s="410"/>
      <c r="IO216" s="410" t="s">
        <v>165</v>
      </c>
      <c r="IP216" s="410"/>
      <c r="IQ216" s="410"/>
      <c r="IR216" s="410"/>
      <c r="IS216" s="410"/>
      <c r="IT216" s="410"/>
      <c r="IU216" s="410"/>
      <c r="IV216" s="410"/>
    </row>
    <row r="217" spans="1:256" ht="13.5" customHeight="1">
      <c r="A217" s="432" t="s">
        <v>319</v>
      </c>
      <c r="B217" s="433"/>
      <c r="C217" s="356" t="s">
        <v>189</v>
      </c>
      <c r="D217" s="356"/>
      <c r="E217" s="351">
        <f>I180</f>
        <v>2721.2</v>
      </c>
      <c r="F217" s="352"/>
      <c r="G217" s="345">
        <f>ROUND((1/1350)*E217,2)</f>
        <v>2.02</v>
      </c>
      <c r="H217" s="359"/>
      <c r="I217" s="337"/>
      <c r="J217" s="455"/>
      <c r="K217" s="455"/>
      <c r="L217" s="456"/>
      <c r="M217" s="457"/>
      <c r="N217" s="457"/>
      <c r="O217" s="457"/>
      <c r="P217" s="457"/>
      <c r="Q217" s="417" t="s">
        <v>164</v>
      </c>
      <c r="R217" s="411"/>
      <c r="S217" s="411"/>
      <c r="T217" s="412" t="s">
        <v>160</v>
      </c>
      <c r="U217" s="413"/>
      <c r="V217" s="414"/>
      <c r="W217" s="414"/>
      <c r="X217" s="414"/>
      <c r="Y217" s="411" t="s">
        <v>164</v>
      </c>
      <c r="Z217" s="411"/>
      <c r="AA217" s="411"/>
      <c r="AB217" s="412" t="s">
        <v>160</v>
      </c>
      <c r="AC217" s="413"/>
      <c r="AD217" s="414"/>
      <c r="AE217" s="414"/>
      <c r="AF217" s="414"/>
      <c r="AG217" s="411" t="s">
        <v>164</v>
      </c>
      <c r="AH217" s="411"/>
      <c r="AI217" s="411"/>
      <c r="AJ217" s="412" t="s">
        <v>160</v>
      </c>
      <c r="AK217" s="413"/>
      <c r="AL217" s="414"/>
      <c r="AM217" s="414"/>
      <c r="AN217" s="414"/>
      <c r="AO217" s="411" t="s">
        <v>164</v>
      </c>
      <c r="AP217" s="411"/>
      <c r="AQ217" s="411"/>
      <c r="AR217" s="412" t="s">
        <v>160</v>
      </c>
      <c r="AS217" s="413"/>
      <c r="AT217" s="414"/>
      <c r="AU217" s="414"/>
      <c r="AV217" s="414"/>
      <c r="AW217" s="411" t="s">
        <v>164</v>
      </c>
      <c r="AX217" s="411"/>
      <c r="AY217" s="411"/>
      <c r="AZ217" s="412" t="s">
        <v>160</v>
      </c>
      <c r="BA217" s="413"/>
      <c r="BB217" s="414"/>
      <c r="BC217" s="414"/>
      <c r="BD217" s="414"/>
      <c r="BE217" s="411" t="s">
        <v>164</v>
      </c>
      <c r="BF217" s="411"/>
      <c r="BG217" s="411"/>
      <c r="BH217" s="412" t="s">
        <v>160</v>
      </c>
      <c r="BI217" s="413"/>
      <c r="BJ217" s="414"/>
      <c r="BK217" s="414"/>
      <c r="BL217" s="414"/>
      <c r="BM217" s="411" t="s">
        <v>164</v>
      </c>
      <c r="BN217" s="411"/>
      <c r="BO217" s="411"/>
      <c r="BP217" s="412" t="s">
        <v>160</v>
      </c>
      <c r="BQ217" s="413"/>
      <c r="BR217" s="414"/>
      <c r="BS217" s="414"/>
      <c r="BT217" s="414"/>
      <c r="BU217" s="411" t="s">
        <v>164</v>
      </c>
      <c r="BV217" s="411"/>
      <c r="BW217" s="411"/>
      <c r="BX217" s="412" t="s">
        <v>160</v>
      </c>
      <c r="BY217" s="413"/>
      <c r="BZ217" s="414"/>
      <c r="CA217" s="414"/>
      <c r="CB217" s="414"/>
      <c r="CC217" s="411" t="s">
        <v>164</v>
      </c>
      <c r="CD217" s="411"/>
      <c r="CE217" s="411"/>
      <c r="CF217" s="412" t="s">
        <v>160</v>
      </c>
      <c r="CG217" s="413"/>
      <c r="CH217" s="414"/>
      <c r="CI217" s="414"/>
      <c r="CJ217" s="414"/>
      <c r="CK217" s="411" t="s">
        <v>164</v>
      </c>
      <c r="CL217" s="411"/>
      <c r="CM217" s="411"/>
      <c r="CN217" s="412" t="s">
        <v>160</v>
      </c>
      <c r="CO217" s="413"/>
      <c r="CP217" s="414"/>
      <c r="CQ217" s="414"/>
      <c r="CR217" s="414"/>
      <c r="CS217" s="411" t="s">
        <v>164</v>
      </c>
      <c r="CT217" s="411"/>
      <c r="CU217" s="411"/>
      <c r="CV217" s="412" t="s">
        <v>160</v>
      </c>
      <c r="CW217" s="413"/>
      <c r="CX217" s="414"/>
      <c r="CY217" s="414"/>
      <c r="CZ217" s="414"/>
      <c r="DA217" s="411" t="s">
        <v>164</v>
      </c>
      <c r="DB217" s="411"/>
      <c r="DC217" s="411"/>
      <c r="DD217" s="412" t="s">
        <v>160</v>
      </c>
      <c r="DE217" s="413"/>
      <c r="DF217" s="414"/>
      <c r="DG217" s="414"/>
      <c r="DH217" s="414"/>
      <c r="DI217" s="411" t="s">
        <v>164</v>
      </c>
      <c r="DJ217" s="411"/>
      <c r="DK217" s="411"/>
      <c r="DL217" s="412" t="s">
        <v>160</v>
      </c>
      <c r="DM217" s="413"/>
      <c r="DN217" s="414"/>
      <c r="DO217" s="414"/>
      <c r="DP217" s="414"/>
      <c r="DQ217" s="411" t="s">
        <v>164</v>
      </c>
      <c r="DR217" s="411"/>
      <c r="DS217" s="411"/>
      <c r="DT217" s="412" t="s">
        <v>160</v>
      </c>
      <c r="DU217" s="413"/>
      <c r="DV217" s="414"/>
      <c r="DW217" s="414"/>
      <c r="DX217" s="414"/>
      <c r="DY217" s="411" t="s">
        <v>164</v>
      </c>
      <c r="DZ217" s="411"/>
      <c r="EA217" s="411"/>
      <c r="EB217" s="412" t="s">
        <v>160</v>
      </c>
      <c r="EC217" s="413"/>
      <c r="ED217" s="414"/>
      <c r="EE217" s="414"/>
      <c r="EF217" s="414"/>
      <c r="EG217" s="411" t="s">
        <v>164</v>
      </c>
      <c r="EH217" s="411"/>
      <c r="EI217" s="411"/>
      <c r="EJ217" s="412" t="s">
        <v>160</v>
      </c>
      <c r="EK217" s="413"/>
      <c r="EL217" s="414"/>
      <c r="EM217" s="414"/>
      <c r="EN217" s="414"/>
      <c r="EO217" s="411" t="s">
        <v>164</v>
      </c>
      <c r="EP217" s="411"/>
      <c r="EQ217" s="411"/>
      <c r="ER217" s="412" t="s">
        <v>160</v>
      </c>
      <c r="ES217" s="413"/>
      <c r="ET217" s="414"/>
      <c r="EU217" s="414"/>
      <c r="EV217" s="414"/>
      <c r="EW217" s="411" t="s">
        <v>164</v>
      </c>
      <c r="EX217" s="411"/>
      <c r="EY217" s="411"/>
      <c r="EZ217" s="412" t="s">
        <v>160</v>
      </c>
      <c r="FA217" s="413"/>
      <c r="FB217" s="414"/>
      <c r="FC217" s="414"/>
      <c r="FD217" s="414"/>
      <c r="FE217" s="411" t="s">
        <v>164</v>
      </c>
      <c r="FF217" s="411"/>
      <c r="FG217" s="411"/>
      <c r="FH217" s="412" t="s">
        <v>160</v>
      </c>
      <c r="FI217" s="413"/>
      <c r="FJ217" s="414"/>
      <c r="FK217" s="414"/>
      <c r="FL217" s="414"/>
      <c r="FM217" s="411" t="s">
        <v>164</v>
      </c>
      <c r="FN217" s="411"/>
      <c r="FO217" s="411"/>
      <c r="FP217" s="412" t="s">
        <v>160</v>
      </c>
      <c r="FQ217" s="413"/>
      <c r="FR217" s="414"/>
      <c r="FS217" s="414"/>
      <c r="FT217" s="414"/>
      <c r="FU217" s="411" t="s">
        <v>164</v>
      </c>
      <c r="FV217" s="411"/>
      <c r="FW217" s="411"/>
      <c r="FX217" s="412" t="s">
        <v>160</v>
      </c>
      <c r="FY217" s="413"/>
      <c r="FZ217" s="414"/>
      <c r="GA217" s="414"/>
      <c r="GB217" s="414"/>
      <c r="GC217" s="411" t="s">
        <v>164</v>
      </c>
      <c r="GD217" s="411"/>
      <c r="GE217" s="411"/>
      <c r="GF217" s="412" t="s">
        <v>160</v>
      </c>
      <c r="GG217" s="413"/>
      <c r="GH217" s="414"/>
      <c r="GI217" s="414"/>
      <c r="GJ217" s="414"/>
      <c r="GK217" s="411" t="s">
        <v>164</v>
      </c>
      <c r="GL217" s="411"/>
      <c r="GM217" s="411"/>
      <c r="GN217" s="412" t="s">
        <v>160</v>
      </c>
      <c r="GO217" s="413"/>
      <c r="GP217" s="414"/>
      <c r="GQ217" s="414"/>
      <c r="GR217" s="414"/>
      <c r="GS217" s="411" t="s">
        <v>164</v>
      </c>
      <c r="GT217" s="411"/>
      <c r="GU217" s="411"/>
      <c r="GV217" s="412" t="s">
        <v>160</v>
      </c>
      <c r="GW217" s="413"/>
      <c r="GX217" s="414"/>
      <c r="GY217" s="414"/>
      <c r="GZ217" s="414"/>
      <c r="HA217" s="411" t="s">
        <v>164</v>
      </c>
      <c r="HB217" s="411"/>
      <c r="HC217" s="411"/>
      <c r="HD217" s="412" t="s">
        <v>160</v>
      </c>
      <c r="HE217" s="413"/>
      <c r="HF217" s="414"/>
      <c r="HG217" s="414"/>
      <c r="HH217" s="414"/>
      <c r="HI217" s="411" t="s">
        <v>164</v>
      </c>
      <c r="HJ217" s="411"/>
      <c r="HK217" s="411"/>
      <c r="HL217" s="412" t="s">
        <v>160</v>
      </c>
      <c r="HM217" s="413"/>
      <c r="HN217" s="414"/>
      <c r="HO217" s="414"/>
      <c r="HP217" s="414"/>
      <c r="HQ217" s="411" t="s">
        <v>164</v>
      </c>
      <c r="HR217" s="411"/>
      <c r="HS217" s="411"/>
      <c r="HT217" s="412" t="s">
        <v>160</v>
      </c>
      <c r="HU217" s="413"/>
      <c r="HV217" s="414"/>
      <c r="HW217" s="414"/>
      <c r="HX217" s="414"/>
      <c r="HY217" s="411" t="s">
        <v>164</v>
      </c>
      <c r="HZ217" s="411"/>
      <c r="IA217" s="411"/>
      <c r="IB217" s="412" t="s">
        <v>160</v>
      </c>
      <c r="IC217" s="413"/>
      <c r="ID217" s="414"/>
      <c r="IE217" s="414"/>
      <c r="IF217" s="414"/>
      <c r="IG217" s="411" t="s">
        <v>164</v>
      </c>
      <c r="IH217" s="411"/>
      <c r="II217" s="411"/>
      <c r="IJ217" s="412" t="s">
        <v>160</v>
      </c>
      <c r="IK217" s="413"/>
      <c r="IL217" s="414"/>
      <c r="IM217" s="414"/>
      <c r="IN217" s="414"/>
      <c r="IO217" s="411" t="s">
        <v>164</v>
      </c>
      <c r="IP217" s="411"/>
      <c r="IQ217" s="411"/>
      <c r="IR217" s="412" t="s">
        <v>160</v>
      </c>
      <c r="IS217" s="413"/>
      <c r="IT217" s="414"/>
      <c r="IU217" s="414"/>
      <c r="IV217" s="414"/>
    </row>
    <row r="218" spans="1:256" ht="13.5" customHeight="1">
      <c r="A218" s="362" t="s">
        <v>134</v>
      </c>
      <c r="B218" s="363"/>
      <c r="C218" s="364"/>
      <c r="D218" s="364"/>
      <c r="E218" s="364"/>
      <c r="F218" s="365"/>
      <c r="G218" s="357">
        <f>SUM(G216+G217)</f>
        <v>2.02</v>
      </c>
      <c r="H218" s="358"/>
      <c r="I218" s="431"/>
      <c r="J218" s="455"/>
      <c r="K218" s="455"/>
      <c r="L218" s="456"/>
      <c r="M218" s="457"/>
      <c r="N218" s="457"/>
      <c r="O218" s="457"/>
      <c r="P218" s="457"/>
      <c r="Q218" s="416"/>
      <c r="R218" s="416"/>
      <c r="S218" s="417"/>
      <c r="T218" s="412"/>
      <c r="U218" s="413"/>
      <c r="V218" s="414"/>
      <c r="W218" s="414"/>
      <c r="X218" s="414"/>
      <c r="Y218" s="415"/>
      <c r="Z218" s="416"/>
      <c r="AA218" s="417"/>
      <c r="AB218" s="412"/>
      <c r="AC218" s="413"/>
      <c r="AD218" s="414"/>
      <c r="AE218" s="414"/>
      <c r="AF218" s="414"/>
      <c r="AG218" s="415"/>
      <c r="AH218" s="416"/>
      <c r="AI218" s="417"/>
      <c r="AJ218" s="412"/>
      <c r="AK218" s="413"/>
      <c r="AL218" s="414"/>
      <c r="AM218" s="414"/>
      <c r="AN218" s="414"/>
      <c r="AO218" s="415"/>
      <c r="AP218" s="416"/>
      <c r="AQ218" s="417"/>
      <c r="AR218" s="412"/>
      <c r="AS218" s="413"/>
      <c r="AT218" s="414"/>
      <c r="AU218" s="414"/>
      <c r="AV218" s="414"/>
      <c r="AW218" s="415"/>
      <c r="AX218" s="416"/>
      <c r="AY218" s="417"/>
      <c r="AZ218" s="412"/>
      <c r="BA218" s="413"/>
      <c r="BB218" s="414"/>
      <c r="BC218" s="414"/>
      <c r="BD218" s="414"/>
      <c r="BE218" s="415"/>
      <c r="BF218" s="416"/>
      <c r="BG218" s="417"/>
      <c r="BH218" s="412"/>
      <c r="BI218" s="413"/>
      <c r="BJ218" s="414"/>
      <c r="BK218" s="414"/>
      <c r="BL218" s="414"/>
      <c r="BM218" s="415"/>
      <c r="BN218" s="416"/>
      <c r="BO218" s="417"/>
      <c r="BP218" s="412"/>
      <c r="BQ218" s="413"/>
      <c r="BR218" s="414"/>
      <c r="BS218" s="414"/>
      <c r="BT218" s="414"/>
      <c r="BU218" s="415"/>
      <c r="BV218" s="416"/>
      <c r="BW218" s="417"/>
      <c r="BX218" s="412"/>
      <c r="BY218" s="413"/>
      <c r="BZ218" s="414"/>
      <c r="CA218" s="414"/>
      <c r="CB218" s="414"/>
      <c r="CC218" s="415"/>
      <c r="CD218" s="416"/>
      <c r="CE218" s="417"/>
      <c r="CF218" s="412"/>
      <c r="CG218" s="413"/>
      <c r="CH218" s="414"/>
      <c r="CI218" s="414"/>
      <c r="CJ218" s="414"/>
      <c r="CK218" s="415"/>
      <c r="CL218" s="416"/>
      <c r="CM218" s="417"/>
      <c r="CN218" s="412"/>
      <c r="CO218" s="413"/>
      <c r="CP218" s="414"/>
      <c r="CQ218" s="414"/>
      <c r="CR218" s="414"/>
      <c r="CS218" s="415"/>
      <c r="CT218" s="416"/>
      <c r="CU218" s="417"/>
      <c r="CV218" s="412"/>
      <c r="CW218" s="413"/>
      <c r="CX218" s="414"/>
      <c r="CY218" s="414"/>
      <c r="CZ218" s="414"/>
      <c r="DA218" s="415"/>
      <c r="DB218" s="416"/>
      <c r="DC218" s="417"/>
      <c r="DD218" s="412"/>
      <c r="DE218" s="413"/>
      <c r="DF218" s="414"/>
      <c r="DG218" s="414"/>
      <c r="DH218" s="414"/>
      <c r="DI218" s="415"/>
      <c r="DJ218" s="416"/>
      <c r="DK218" s="417"/>
      <c r="DL218" s="412"/>
      <c r="DM218" s="413"/>
      <c r="DN218" s="414"/>
      <c r="DO218" s="414"/>
      <c r="DP218" s="414"/>
      <c r="DQ218" s="415"/>
      <c r="DR218" s="416"/>
      <c r="DS218" s="417"/>
      <c r="DT218" s="412"/>
      <c r="DU218" s="413"/>
      <c r="DV218" s="414"/>
      <c r="DW218" s="414"/>
      <c r="DX218" s="414"/>
      <c r="DY218" s="415"/>
      <c r="DZ218" s="416"/>
      <c r="EA218" s="417"/>
      <c r="EB218" s="412"/>
      <c r="EC218" s="413"/>
      <c r="ED218" s="414"/>
      <c r="EE218" s="414"/>
      <c r="EF218" s="414"/>
      <c r="EG218" s="415"/>
      <c r="EH218" s="416"/>
      <c r="EI218" s="417"/>
      <c r="EJ218" s="412"/>
      <c r="EK218" s="413"/>
      <c r="EL218" s="414"/>
      <c r="EM218" s="414"/>
      <c r="EN218" s="414"/>
      <c r="EO218" s="415"/>
      <c r="EP218" s="416"/>
      <c r="EQ218" s="417"/>
      <c r="ER218" s="412"/>
      <c r="ES218" s="413"/>
      <c r="ET218" s="414"/>
      <c r="EU218" s="414"/>
      <c r="EV218" s="414"/>
      <c r="EW218" s="415"/>
      <c r="EX218" s="416"/>
      <c r="EY218" s="417"/>
      <c r="EZ218" s="412"/>
      <c r="FA218" s="413"/>
      <c r="FB218" s="414"/>
      <c r="FC218" s="414"/>
      <c r="FD218" s="414"/>
      <c r="FE218" s="415"/>
      <c r="FF218" s="416"/>
      <c r="FG218" s="417"/>
      <c r="FH218" s="412"/>
      <c r="FI218" s="413"/>
      <c r="FJ218" s="414"/>
      <c r="FK218" s="414"/>
      <c r="FL218" s="414"/>
      <c r="FM218" s="415"/>
      <c r="FN218" s="416"/>
      <c r="FO218" s="417"/>
      <c r="FP218" s="412"/>
      <c r="FQ218" s="413"/>
      <c r="FR218" s="414"/>
      <c r="FS218" s="414"/>
      <c r="FT218" s="414"/>
      <c r="FU218" s="415"/>
      <c r="FV218" s="416"/>
      <c r="FW218" s="417"/>
      <c r="FX218" s="412"/>
      <c r="FY218" s="413"/>
      <c r="FZ218" s="414"/>
      <c r="GA218" s="414"/>
      <c r="GB218" s="414"/>
      <c r="GC218" s="415"/>
      <c r="GD218" s="416"/>
      <c r="GE218" s="417"/>
      <c r="GF218" s="412"/>
      <c r="GG218" s="413"/>
      <c r="GH218" s="414"/>
      <c r="GI218" s="414"/>
      <c r="GJ218" s="414"/>
      <c r="GK218" s="415"/>
      <c r="GL218" s="416"/>
      <c r="GM218" s="417"/>
      <c r="GN218" s="412"/>
      <c r="GO218" s="413"/>
      <c r="GP218" s="414"/>
      <c r="GQ218" s="414"/>
      <c r="GR218" s="414"/>
      <c r="GS218" s="415"/>
      <c r="GT218" s="416"/>
      <c r="GU218" s="417"/>
      <c r="GV218" s="412"/>
      <c r="GW218" s="413"/>
      <c r="GX218" s="414"/>
      <c r="GY218" s="414"/>
      <c r="GZ218" s="414"/>
      <c r="HA218" s="415"/>
      <c r="HB218" s="416"/>
      <c r="HC218" s="417"/>
      <c r="HD218" s="412"/>
      <c r="HE218" s="413"/>
      <c r="HF218" s="414"/>
      <c r="HG218" s="414"/>
      <c r="HH218" s="414"/>
      <c r="HI218" s="415"/>
      <c r="HJ218" s="416"/>
      <c r="HK218" s="417"/>
      <c r="HL218" s="412"/>
      <c r="HM218" s="413"/>
      <c r="HN218" s="414"/>
      <c r="HO218" s="414"/>
      <c r="HP218" s="414"/>
      <c r="HQ218" s="415"/>
      <c r="HR218" s="416"/>
      <c r="HS218" s="417"/>
      <c r="HT218" s="412"/>
      <c r="HU218" s="413"/>
      <c r="HV218" s="414"/>
      <c r="HW218" s="414"/>
      <c r="HX218" s="414"/>
      <c r="HY218" s="415"/>
      <c r="HZ218" s="416"/>
      <c r="IA218" s="417"/>
      <c r="IB218" s="412"/>
      <c r="IC218" s="413"/>
      <c r="ID218" s="414"/>
      <c r="IE218" s="414"/>
      <c r="IF218" s="414"/>
      <c r="IG218" s="415"/>
      <c r="IH218" s="416"/>
      <c r="II218" s="417"/>
      <c r="IJ218" s="412"/>
      <c r="IK218" s="413"/>
      <c r="IL218" s="414"/>
      <c r="IM218" s="414"/>
      <c r="IN218" s="414"/>
      <c r="IO218" s="415"/>
      <c r="IP218" s="416"/>
      <c r="IQ218" s="417"/>
      <c r="IR218" s="412"/>
      <c r="IS218" s="413"/>
      <c r="IT218" s="414"/>
      <c r="IU218" s="414"/>
      <c r="IV218" s="414"/>
    </row>
    <row r="219" spans="1:256" ht="6.75" customHeight="1">
      <c r="A219" s="589"/>
      <c r="B219" s="590"/>
      <c r="C219" s="407"/>
      <c r="D219" s="407"/>
      <c r="E219" s="407"/>
      <c r="F219" s="407"/>
      <c r="G219" s="407"/>
      <c r="H219" s="407"/>
      <c r="I219" s="467"/>
      <c r="J219" s="458"/>
      <c r="K219" s="458"/>
      <c r="L219" s="459"/>
      <c r="M219" s="457"/>
      <c r="N219" s="457"/>
      <c r="O219" s="457"/>
      <c r="P219" s="457"/>
      <c r="Q219" s="419" t="s">
        <v>159</v>
      </c>
      <c r="R219" s="419"/>
      <c r="S219" s="420"/>
      <c r="T219" s="421"/>
      <c r="U219" s="413"/>
      <c r="V219" s="414"/>
      <c r="W219" s="414"/>
      <c r="X219" s="414"/>
      <c r="Y219" s="418" t="s">
        <v>159</v>
      </c>
      <c r="Z219" s="419"/>
      <c r="AA219" s="420"/>
      <c r="AB219" s="421"/>
      <c r="AC219" s="413"/>
      <c r="AD219" s="414"/>
      <c r="AE219" s="414"/>
      <c r="AF219" s="414"/>
      <c r="AG219" s="418" t="s">
        <v>159</v>
      </c>
      <c r="AH219" s="419"/>
      <c r="AI219" s="420"/>
      <c r="AJ219" s="421"/>
      <c r="AK219" s="413"/>
      <c r="AL219" s="414"/>
      <c r="AM219" s="414"/>
      <c r="AN219" s="414"/>
      <c r="AO219" s="418" t="s">
        <v>159</v>
      </c>
      <c r="AP219" s="419"/>
      <c r="AQ219" s="420"/>
      <c r="AR219" s="421"/>
      <c r="AS219" s="413"/>
      <c r="AT219" s="414"/>
      <c r="AU219" s="414"/>
      <c r="AV219" s="414"/>
      <c r="AW219" s="418" t="s">
        <v>159</v>
      </c>
      <c r="AX219" s="419"/>
      <c r="AY219" s="420"/>
      <c r="AZ219" s="421"/>
      <c r="BA219" s="413"/>
      <c r="BB219" s="414"/>
      <c r="BC219" s="414"/>
      <c r="BD219" s="414"/>
      <c r="BE219" s="418" t="s">
        <v>159</v>
      </c>
      <c r="BF219" s="419"/>
      <c r="BG219" s="420"/>
      <c r="BH219" s="421"/>
      <c r="BI219" s="413"/>
      <c r="BJ219" s="414"/>
      <c r="BK219" s="414"/>
      <c r="BL219" s="414"/>
      <c r="BM219" s="418" t="s">
        <v>159</v>
      </c>
      <c r="BN219" s="419"/>
      <c r="BO219" s="420"/>
      <c r="BP219" s="421"/>
      <c r="BQ219" s="413"/>
      <c r="BR219" s="414"/>
      <c r="BS219" s="414"/>
      <c r="BT219" s="414"/>
      <c r="BU219" s="418" t="s">
        <v>159</v>
      </c>
      <c r="BV219" s="419"/>
      <c r="BW219" s="420"/>
      <c r="BX219" s="421"/>
      <c r="BY219" s="413"/>
      <c r="BZ219" s="414"/>
      <c r="CA219" s="414"/>
      <c r="CB219" s="414"/>
      <c r="CC219" s="418" t="s">
        <v>159</v>
      </c>
      <c r="CD219" s="419"/>
      <c r="CE219" s="420"/>
      <c r="CF219" s="421"/>
      <c r="CG219" s="413"/>
      <c r="CH219" s="414"/>
      <c r="CI219" s="414"/>
      <c r="CJ219" s="414"/>
      <c r="CK219" s="418" t="s">
        <v>159</v>
      </c>
      <c r="CL219" s="419"/>
      <c r="CM219" s="420"/>
      <c r="CN219" s="421"/>
      <c r="CO219" s="413"/>
      <c r="CP219" s="414"/>
      <c r="CQ219" s="414"/>
      <c r="CR219" s="414"/>
      <c r="CS219" s="418" t="s">
        <v>159</v>
      </c>
      <c r="CT219" s="419"/>
      <c r="CU219" s="420"/>
      <c r="CV219" s="421"/>
      <c r="CW219" s="413"/>
      <c r="CX219" s="414"/>
      <c r="CY219" s="414"/>
      <c r="CZ219" s="414"/>
      <c r="DA219" s="418" t="s">
        <v>159</v>
      </c>
      <c r="DB219" s="419"/>
      <c r="DC219" s="420"/>
      <c r="DD219" s="421"/>
      <c r="DE219" s="413"/>
      <c r="DF219" s="414"/>
      <c r="DG219" s="414"/>
      <c r="DH219" s="414"/>
      <c r="DI219" s="418" t="s">
        <v>159</v>
      </c>
      <c r="DJ219" s="419"/>
      <c r="DK219" s="420"/>
      <c r="DL219" s="421"/>
      <c r="DM219" s="413"/>
      <c r="DN219" s="414"/>
      <c r="DO219" s="414"/>
      <c r="DP219" s="414"/>
      <c r="DQ219" s="418" t="s">
        <v>159</v>
      </c>
      <c r="DR219" s="419"/>
      <c r="DS219" s="420"/>
      <c r="DT219" s="421"/>
      <c r="DU219" s="413"/>
      <c r="DV219" s="414"/>
      <c r="DW219" s="414"/>
      <c r="DX219" s="414"/>
      <c r="DY219" s="418" t="s">
        <v>159</v>
      </c>
      <c r="DZ219" s="419"/>
      <c r="EA219" s="420"/>
      <c r="EB219" s="421"/>
      <c r="EC219" s="413"/>
      <c r="ED219" s="414"/>
      <c r="EE219" s="414"/>
      <c r="EF219" s="414"/>
      <c r="EG219" s="418" t="s">
        <v>159</v>
      </c>
      <c r="EH219" s="419"/>
      <c r="EI219" s="420"/>
      <c r="EJ219" s="421"/>
      <c r="EK219" s="413"/>
      <c r="EL219" s="414"/>
      <c r="EM219" s="414"/>
      <c r="EN219" s="414"/>
      <c r="EO219" s="418" t="s">
        <v>159</v>
      </c>
      <c r="EP219" s="419"/>
      <c r="EQ219" s="420"/>
      <c r="ER219" s="421"/>
      <c r="ES219" s="413"/>
      <c r="ET219" s="414"/>
      <c r="EU219" s="414"/>
      <c r="EV219" s="414"/>
      <c r="EW219" s="418" t="s">
        <v>159</v>
      </c>
      <c r="EX219" s="419"/>
      <c r="EY219" s="420"/>
      <c r="EZ219" s="421"/>
      <c r="FA219" s="413"/>
      <c r="FB219" s="414"/>
      <c r="FC219" s="414"/>
      <c r="FD219" s="414"/>
      <c r="FE219" s="418" t="s">
        <v>159</v>
      </c>
      <c r="FF219" s="419"/>
      <c r="FG219" s="420"/>
      <c r="FH219" s="421"/>
      <c r="FI219" s="413"/>
      <c r="FJ219" s="414"/>
      <c r="FK219" s="414"/>
      <c r="FL219" s="414"/>
      <c r="FM219" s="418" t="s">
        <v>159</v>
      </c>
      <c r="FN219" s="419"/>
      <c r="FO219" s="420"/>
      <c r="FP219" s="421"/>
      <c r="FQ219" s="413"/>
      <c r="FR219" s="414"/>
      <c r="FS219" s="414"/>
      <c r="FT219" s="414"/>
      <c r="FU219" s="418" t="s">
        <v>159</v>
      </c>
      <c r="FV219" s="419"/>
      <c r="FW219" s="420"/>
      <c r="FX219" s="421"/>
      <c r="FY219" s="413"/>
      <c r="FZ219" s="414"/>
      <c r="GA219" s="414"/>
      <c r="GB219" s="414"/>
      <c r="GC219" s="418" t="s">
        <v>159</v>
      </c>
      <c r="GD219" s="419"/>
      <c r="GE219" s="420"/>
      <c r="GF219" s="421"/>
      <c r="GG219" s="413"/>
      <c r="GH219" s="414"/>
      <c r="GI219" s="414"/>
      <c r="GJ219" s="414"/>
      <c r="GK219" s="418" t="s">
        <v>159</v>
      </c>
      <c r="GL219" s="419"/>
      <c r="GM219" s="420"/>
      <c r="GN219" s="421"/>
      <c r="GO219" s="413"/>
      <c r="GP219" s="414"/>
      <c r="GQ219" s="414"/>
      <c r="GR219" s="414"/>
      <c r="GS219" s="418" t="s">
        <v>159</v>
      </c>
      <c r="GT219" s="419"/>
      <c r="GU219" s="420"/>
      <c r="GV219" s="421"/>
      <c r="GW219" s="413"/>
      <c r="GX219" s="414"/>
      <c r="GY219" s="414"/>
      <c r="GZ219" s="414"/>
      <c r="HA219" s="418" t="s">
        <v>159</v>
      </c>
      <c r="HB219" s="419"/>
      <c r="HC219" s="420"/>
      <c r="HD219" s="421"/>
      <c r="HE219" s="413"/>
      <c r="HF219" s="414"/>
      <c r="HG219" s="414"/>
      <c r="HH219" s="414"/>
      <c r="HI219" s="418" t="s">
        <v>159</v>
      </c>
      <c r="HJ219" s="419"/>
      <c r="HK219" s="420"/>
      <c r="HL219" s="421"/>
      <c r="HM219" s="413"/>
      <c r="HN219" s="414"/>
      <c r="HO219" s="414"/>
      <c r="HP219" s="414"/>
      <c r="HQ219" s="418" t="s">
        <v>159</v>
      </c>
      <c r="HR219" s="419"/>
      <c r="HS219" s="420"/>
      <c r="HT219" s="421"/>
      <c r="HU219" s="413"/>
      <c r="HV219" s="414"/>
      <c r="HW219" s="414"/>
      <c r="HX219" s="414"/>
      <c r="HY219" s="418" t="s">
        <v>159</v>
      </c>
      <c r="HZ219" s="419"/>
      <c r="IA219" s="420"/>
      <c r="IB219" s="421"/>
      <c r="IC219" s="413"/>
      <c r="ID219" s="414"/>
      <c r="IE219" s="414"/>
      <c r="IF219" s="414"/>
      <c r="IG219" s="418" t="s">
        <v>159</v>
      </c>
      <c r="IH219" s="419"/>
      <c r="II219" s="420"/>
      <c r="IJ219" s="421"/>
      <c r="IK219" s="413"/>
      <c r="IL219" s="414"/>
      <c r="IM219" s="414"/>
      <c r="IN219" s="414"/>
      <c r="IO219" s="418" t="s">
        <v>159</v>
      </c>
      <c r="IP219" s="419"/>
      <c r="IQ219" s="420"/>
      <c r="IR219" s="421"/>
      <c r="IS219" s="413"/>
      <c r="IT219" s="414"/>
      <c r="IU219" s="414"/>
      <c r="IV219" s="414"/>
    </row>
    <row r="220" spans="1:256" ht="12.75">
      <c r="A220" s="355" t="s">
        <v>247</v>
      </c>
      <c r="B220" s="355"/>
      <c r="C220" s="353" t="s">
        <v>190</v>
      </c>
      <c r="D220" s="353"/>
      <c r="E220" s="588">
        <v>0</v>
      </c>
      <c r="F220" s="588"/>
      <c r="G220" s="345">
        <v>0</v>
      </c>
      <c r="H220" s="346"/>
      <c r="I220" s="337"/>
      <c r="J220" s="455"/>
      <c r="K220" s="455"/>
      <c r="L220" s="459"/>
      <c r="M220" s="457"/>
      <c r="N220" s="457"/>
      <c r="O220" s="457"/>
      <c r="P220" s="457"/>
      <c r="Q220" s="417"/>
      <c r="R220" s="411"/>
      <c r="S220" s="411"/>
      <c r="T220" s="421"/>
      <c r="U220" s="413"/>
      <c r="V220" s="414"/>
      <c r="W220" s="414"/>
      <c r="X220" s="414"/>
      <c r="Y220" s="411"/>
      <c r="Z220" s="411"/>
      <c r="AA220" s="411"/>
      <c r="AB220" s="421"/>
      <c r="AC220" s="413"/>
      <c r="AD220" s="414"/>
      <c r="AE220" s="414"/>
      <c r="AF220" s="414"/>
      <c r="AG220" s="411"/>
      <c r="AH220" s="411"/>
      <c r="AI220" s="411"/>
      <c r="AJ220" s="421"/>
      <c r="AK220" s="413"/>
      <c r="AL220" s="414"/>
      <c r="AM220" s="414"/>
      <c r="AN220" s="414"/>
      <c r="AO220" s="411"/>
      <c r="AP220" s="411"/>
      <c r="AQ220" s="411"/>
      <c r="AR220" s="421"/>
      <c r="AS220" s="413"/>
      <c r="AT220" s="414"/>
      <c r="AU220" s="414"/>
      <c r="AV220" s="414"/>
      <c r="AW220" s="411"/>
      <c r="AX220" s="411"/>
      <c r="AY220" s="411"/>
      <c r="AZ220" s="421"/>
      <c r="BA220" s="413"/>
      <c r="BB220" s="414"/>
      <c r="BC220" s="414"/>
      <c r="BD220" s="414"/>
      <c r="BE220" s="411"/>
      <c r="BF220" s="411"/>
      <c r="BG220" s="411"/>
      <c r="BH220" s="421"/>
      <c r="BI220" s="413"/>
      <c r="BJ220" s="414"/>
      <c r="BK220" s="414"/>
      <c r="BL220" s="414"/>
      <c r="BM220" s="411"/>
      <c r="BN220" s="411"/>
      <c r="BO220" s="411"/>
      <c r="BP220" s="421"/>
      <c r="BQ220" s="413"/>
      <c r="BR220" s="414"/>
      <c r="BS220" s="414"/>
      <c r="BT220" s="414"/>
      <c r="BU220" s="411"/>
      <c r="BV220" s="411"/>
      <c r="BW220" s="411"/>
      <c r="BX220" s="421"/>
      <c r="BY220" s="413"/>
      <c r="BZ220" s="414"/>
      <c r="CA220" s="414"/>
      <c r="CB220" s="414"/>
      <c r="CC220" s="411"/>
      <c r="CD220" s="411"/>
      <c r="CE220" s="411"/>
      <c r="CF220" s="421"/>
      <c r="CG220" s="413"/>
      <c r="CH220" s="414"/>
      <c r="CI220" s="414"/>
      <c r="CJ220" s="414"/>
      <c r="CK220" s="411"/>
      <c r="CL220" s="411"/>
      <c r="CM220" s="411"/>
      <c r="CN220" s="421"/>
      <c r="CO220" s="413"/>
      <c r="CP220" s="414"/>
      <c r="CQ220" s="414"/>
      <c r="CR220" s="414"/>
      <c r="CS220" s="411"/>
      <c r="CT220" s="411"/>
      <c r="CU220" s="411"/>
      <c r="CV220" s="421"/>
      <c r="CW220" s="413"/>
      <c r="CX220" s="414"/>
      <c r="CY220" s="414"/>
      <c r="CZ220" s="414"/>
      <c r="DA220" s="411"/>
      <c r="DB220" s="411"/>
      <c r="DC220" s="411"/>
      <c r="DD220" s="421"/>
      <c r="DE220" s="413"/>
      <c r="DF220" s="414"/>
      <c r="DG220" s="414"/>
      <c r="DH220" s="414"/>
      <c r="DI220" s="411"/>
      <c r="DJ220" s="411"/>
      <c r="DK220" s="411"/>
      <c r="DL220" s="421"/>
      <c r="DM220" s="413"/>
      <c r="DN220" s="414"/>
      <c r="DO220" s="414"/>
      <c r="DP220" s="414"/>
      <c r="DQ220" s="411"/>
      <c r="DR220" s="411"/>
      <c r="DS220" s="411"/>
      <c r="DT220" s="421"/>
      <c r="DU220" s="413"/>
      <c r="DV220" s="414"/>
      <c r="DW220" s="414"/>
      <c r="DX220" s="414"/>
      <c r="DY220" s="411"/>
      <c r="DZ220" s="411"/>
      <c r="EA220" s="411"/>
      <c r="EB220" s="421"/>
      <c r="EC220" s="413"/>
      <c r="ED220" s="414"/>
      <c r="EE220" s="414"/>
      <c r="EF220" s="414"/>
      <c r="EG220" s="411"/>
      <c r="EH220" s="411"/>
      <c r="EI220" s="411"/>
      <c r="EJ220" s="421"/>
      <c r="EK220" s="413"/>
      <c r="EL220" s="414"/>
      <c r="EM220" s="414"/>
      <c r="EN220" s="414"/>
      <c r="EO220" s="411"/>
      <c r="EP220" s="411"/>
      <c r="EQ220" s="411"/>
      <c r="ER220" s="421"/>
      <c r="ES220" s="413"/>
      <c r="ET220" s="414"/>
      <c r="EU220" s="414"/>
      <c r="EV220" s="414"/>
      <c r="EW220" s="411"/>
      <c r="EX220" s="411"/>
      <c r="EY220" s="411"/>
      <c r="EZ220" s="421"/>
      <c r="FA220" s="413"/>
      <c r="FB220" s="414"/>
      <c r="FC220" s="414"/>
      <c r="FD220" s="414"/>
      <c r="FE220" s="411"/>
      <c r="FF220" s="411"/>
      <c r="FG220" s="411"/>
      <c r="FH220" s="421"/>
      <c r="FI220" s="413"/>
      <c r="FJ220" s="414"/>
      <c r="FK220" s="414"/>
      <c r="FL220" s="414"/>
      <c r="FM220" s="411"/>
      <c r="FN220" s="411"/>
      <c r="FO220" s="411"/>
      <c r="FP220" s="421"/>
      <c r="FQ220" s="413"/>
      <c r="FR220" s="414"/>
      <c r="FS220" s="414"/>
      <c r="FT220" s="414"/>
      <c r="FU220" s="411"/>
      <c r="FV220" s="411"/>
      <c r="FW220" s="411"/>
      <c r="FX220" s="421"/>
      <c r="FY220" s="413"/>
      <c r="FZ220" s="414"/>
      <c r="GA220" s="414"/>
      <c r="GB220" s="414"/>
      <c r="GC220" s="411"/>
      <c r="GD220" s="411"/>
      <c r="GE220" s="411"/>
      <c r="GF220" s="421"/>
      <c r="GG220" s="413"/>
      <c r="GH220" s="414"/>
      <c r="GI220" s="414"/>
      <c r="GJ220" s="414"/>
      <c r="GK220" s="411"/>
      <c r="GL220" s="411"/>
      <c r="GM220" s="411"/>
      <c r="GN220" s="421"/>
      <c r="GO220" s="413"/>
      <c r="GP220" s="414"/>
      <c r="GQ220" s="414"/>
      <c r="GR220" s="414"/>
      <c r="GS220" s="411"/>
      <c r="GT220" s="411"/>
      <c r="GU220" s="411"/>
      <c r="GV220" s="421"/>
      <c r="GW220" s="413"/>
      <c r="GX220" s="414"/>
      <c r="GY220" s="414"/>
      <c r="GZ220" s="414"/>
      <c r="HA220" s="411"/>
      <c r="HB220" s="411"/>
      <c r="HC220" s="411"/>
      <c r="HD220" s="421"/>
      <c r="HE220" s="413"/>
      <c r="HF220" s="414"/>
      <c r="HG220" s="414"/>
      <c r="HH220" s="414"/>
      <c r="HI220" s="411"/>
      <c r="HJ220" s="411"/>
      <c r="HK220" s="411"/>
      <c r="HL220" s="421"/>
      <c r="HM220" s="413"/>
      <c r="HN220" s="414"/>
      <c r="HO220" s="414"/>
      <c r="HP220" s="414"/>
      <c r="HQ220" s="411"/>
      <c r="HR220" s="411"/>
      <c r="HS220" s="411"/>
      <c r="HT220" s="421"/>
      <c r="HU220" s="413"/>
      <c r="HV220" s="414"/>
      <c r="HW220" s="414"/>
      <c r="HX220" s="414"/>
      <c r="HY220" s="411"/>
      <c r="HZ220" s="411"/>
      <c r="IA220" s="411"/>
      <c r="IB220" s="421"/>
      <c r="IC220" s="413"/>
      <c r="ID220" s="414"/>
      <c r="IE220" s="414"/>
      <c r="IF220" s="414"/>
      <c r="IG220" s="411"/>
      <c r="IH220" s="411"/>
      <c r="II220" s="411"/>
      <c r="IJ220" s="421"/>
      <c r="IK220" s="413"/>
      <c r="IL220" s="414"/>
      <c r="IM220" s="414"/>
      <c r="IN220" s="414"/>
      <c r="IO220" s="411"/>
      <c r="IP220" s="411"/>
      <c r="IQ220" s="411"/>
      <c r="IR220" s="421"/>
      <c r="IS220" s="413"/>
      <c r="IT220" s="414"/>
      <c r="IU220" s="414"/>
      <c r="IV220" s="414"/>
    </row>
    <row r="221" spans="1:256" ht="12.75">
      <c r="A221" s="368" t="s">
        <v>234</v>
      </c>
      <c r="B221" s="368"/>
      <c r="C221" s="356" t="s">
        <v>191</v>
      </c>
      <c r="D221" s="356"/>
      <c r="E221" s="342">
        <v>0</v>
      </c>
      <c r="F221" s="343"/>
      <c r="G221" s="345">
        <v>0</v>
      </c>
      <c r="H221" s="359"/>
      <c r="I221" s="337"/>
      <c r="J221" s="455"/>
      <c r="K221" s="455"/>
      <c r="L221" s="459"/>
      <c r="M221" s="457"/>
      <c r="N221" s="457"/>
      <c r="O221" s="457"/>
      <c r="P221" s="457"/>
      <c r="Q221" s="417"/>
      <c r="R221" s="411"/>
      <c r="S221" s="411"/>
      <c r="T221" s="421"/>
      <c r="U221" s="413"/>
      <c r="V221" s="414"/>
      <c r="W221" s="414"/>
      <c r="X221" s="414"/>
      <c r="Y221" s="411"/>
      <c r="Z221" s="411"/>
      <c r="AA221" s="411"/>
      <c r="AB221" s="421"/>
      <c r="AC221" s="413"/>
      <c r="AD221" s="414"/>
      <c r="AE221" s="414"/>
      <c r="AF221" s="414"/>
      <c r="AG221" s="411"/>
      <c r="AH221" s="411"/>
      <c r="AI221" s="411"/>
      <c r="AJ221" s="421"/>
      <c r="AK221" s="413"/>
      <c r="AL221" s="414"/>
      <c r="AM221" s="414"/>
      <c r="AN221" s="414"/>
      <c r="AO221" s="411"/>
      <c r="AP221" s="411"/>
      <c r="AQ221" s="411"/>
      <c r="AR221" s="421"/>
      <c r="AS221" s="413"/>
      <c r="AT221" s="414"/>
      <c r="AU221" s="414"/>
      <c r="AV221" s="414"/>
      <c r="AW221" s="411"/>
      <c r="AX221" s="411"/>
      <c r="AY221" s="411"/>
      <c r="AZ221" s="421"/>
      <c r="BA221" s="413"/>
      <c r="BB221" s="414"/>
      <c r="BC221" s="414"/>
      <c r="BD221" s="414"/>
      <c r="BE221" s="411"/>
      <c r="BF221" s="411"/>
      <c r="BG221" s="411"/>
      <c r="BH221" s="421"/>
      <c r="BI221" s="413"/>
      <c r="BJ221" s="414"/>
      <c r="BK221" s="414"/>
      <c r="BL221" s="414"/>
      <c r="BM221" s="411"/>
      <c r="BN221" s="411"/>
      <c r="BO221" s="411"/>
      <c r="BP221" s="421"/>
      <c r="BQ221" s="413"/>
      <c r="BR221" s="414"/>
      <c r="BS221" s="414"/>
      <c r="BT221" s="414"/>
      <c r="BU221" s="411"/>
      <c r="BV221" s="411"/>
      <c r="BW221" s="411"/>
      <c r="BX221" s="421"/>
      <c r="BY221" s="413"/>
      <c r="BZ221" s="414"/>
      <c r="CA221" s="414"/>
      <c r="CB221" s="414"/>
      <c r="CC221" s="411"/>
      <c r="CD221" s="411"/>
      <c r="CE221" s="411"/>
      <c r="CF221" s="421"/>
      <c r="CG221" s="413"/>
      <c r="CH221" s="414"/>
      <c r="CI221" s="414"/>
      <c r="CJ221" s="414"/>
      <c r="CK221" s="411"/>
      <c r="CL221" s="411"/>
      <c r="CM221" s="411"/>
      <c r="CN221" s="421"/>
      <c r="CO221" s="413"/>
      <c r="CP221" s="414"/>
      <c r="CQ221" s="414"/>
      <c r="CR221" s="414"/>
      <c r="CS221" s="411"/>
      <c r="CT221" s="411"/>
      <c r="CU221" s="411"/>
      <c r="CV221" s="421"/>
      <c r="CW221" s="413"/>
      <c r="CX221" s="414"/>
      <c r="CY221" s="414"/>
      <c r="CZ221" s="414"/>
      <c r="DA221" s="411"/>
      <c r="DB221" s="411"/>
      <c r="DC221" s="411"/>
      <c r="DD221" s="421"/>
      <c r="DE221" s="413"/>
      <c r="DF221" s="414"/>
      <c r="DG221" s="414"/>
      <c r="DH221" s="414"/>
      <c r="DI221" s="411"/>
      <c r="DJ221" s="411"/>
      <c r="DK221" s="411"/>
      <c r="DL221" s="421"/>
      <c r="DM221" s="413"/>
      <c r="DN221" s="414"/>
      <c r="DO221" s="414"/>
      <c r="DP221" s="414"/>
      <c r="DQ221" s="411"/>
      <c r="DR221" s="411"/>
      <c r="DS221" s="411"/>
      <c r="DT221" s="421"/>
      <c r="DU221" s="413"/>
      <c r="DV221" s="414"/>
      <c r="DW221" s="414"/>
      <c r="DX221" s="414"/>
      <c r="DY221" s="411"/>
      <c r="DZ221" s="411"/>
      <c r="EA221" s="411"/>
      <c r="EB221" s="421"/>
      <c r="EC221" s="413"/>
      <c r="ED221" s="414"/>
      <c r="EE221" s="414"/>
      <c r="EF221" s="414"/>
      <c r="EG221" s="411"/>
      <c r="EH221" s="411"/>
      <c r="EI221" s="411"/>
      <c r="EJ221" s="421"/>
      <c r="EK221" s="413"/>
      <c r="EL221" s="414"/>
      <c r="EM221" s="414"/>
      <c r="EN221" s="414"/>
      <c r="EO221" s="411"/>
      <c r="EP221" s="411"/>
      <c r="EQ221" s="411"/>
      <c r="ER221" s="421"/>
      <c r="ES221" s="413"/>
      <c r="ET221" s="414"/>
      <c r="EU221" s="414"/>
      <c r="EV221" s="414"/>
      <c r="EW221" s="411"/>
      <c r="EX221" s="411"/>
      <c r="EY221" s="411"/>
      <c r="EZ221" s="421"/>
      <c r="FA221" s="413"/>
      <c r="FB221" s="414"/>
      <c r="FC221" s="414"/>
      <c r="FD221" s="414"/>
      <c r="FE221" s="411"/>
      <c r="FF221" s="411"/>
      <c r="FG221" s="411"/>
      <c r="FH221" s="421"/>
      <c r="FI221" s="413"/>
      <c r="FJ221" s="414"/>
      <c r="FK221" s="414"/>
      <c r="FL221" s="414"/>
      <c r="FM221" s="411"/>
      <c r="FN221" s="411"/>
      <c r="FO221" s="411"/>
      <c r="FP221" s="421"/>
      <c r="FQ221" s="413"/>
      <c r="FR221" s="414"/>
      <c r="FS221" s="414"/>
      <c r="FT221" s="414"/>
      <c r="FU221" s="411"/>
      <c r="FV221" s="411"/>
      <c r="FW221" s="411"/>
      <c r="FX221" s="421"/>
      <c r="FY221" s="413"/>
      <c r="FZ221" s="414"/>
      <c r="GA221" s="414"/>
      <c r="GB221" s="414"/>
      <c r="GC221" s="411"/>
      <c r="GD221" s="411"/>
      <c r="GE221" s="411"/>
      <c r="GF221" s="421"/>
      <c r="GG221" s="413"/>
      <c r="GH221" s="414"/>
      <c r="GI221" s="414"/>
      <c r="GJ221" s="414"/>
      <c r="GK221" s="411"/>
      <c r="GL221" s="411"/>
      <c r="GM221" s="411"/>
      <c r="GN221" s="421"/>
      <c r="GO221" s="413"/>
      <c r="GP221" s="414"/>
      <c r="GQ221" s="414"/>
      <c r="GR221" s="414"/>
      <c r="GS221" s="411"/>
      <c r="GT221" s="411"/>
      <c r="GU221" s="411"/>
      <c r="GV221" s="421"/>
      <c r="GW221" s="413"/>
      <c r="GX221" s="414"/>
      <c r="GY221" s="414"/>
      <c r="GZ221" s="414"/>
      <c r="HA221" s="411"/>
      <c r="HB221" s="411"/>
      <c r="HC221" s="411"/>
      <c r="HD221" s="421"/>
      <c r="HE221" s="413"/>
      <c r="HF221" s="414"/>
      <c r="HG221" s="414"/>
      <c r="HH221" s="414"/>
      <c r="HI221" s="411"/>
      <c r="HJ221" s="411"/>
      <c r="HK221" s="411"/>
      <c r="HL221" s="421"/>
      <c r="HM221" s="413"/>
      <c r="HN221" s="414"/>
      <c r="HO221" s="414"/>
      <c r="HP221" s="414"/>
      <c r="HQ221" s="411"/>
      <c r="HR221" s="411"/>
      <c r="HS221" s="411"/>
      <c r="HT221" s="421"/>
      <c r="HU221" s="413"/>
      <c r="HV221" s="414"/>
      <c r="HW221" s="414"/>
      <c r="HX221" s="414"/>
      <c r="HY221" s="411"/>
      <c r="HZ221" s="411"/>
      <c r="IA221" s="411"/>
      <c r="IB221" s="421"/>
      <c r="IC221" s="413"/>
      <c r="ID221" s="414"/>
      <c r="IE221" s="414"/>
      <c r="IF221" s="414"/>
      <c r="IG221" s="411"/>
      <c r="IH221" s="411"/>
      <c r="II221" s="411"/>
      <c r="IJ221" s="421"/>
      <c r="IK221" s="413"/>
      <c r="IL221" s="414"/>
      <c r="IM221" s="414"/>
      <c r="IN221" s="414"/>
      <c r="IO221" s="411"/>
      <c r="IP221" s="411"/>
      <c r="IQ221" s="411"/>
      <c r="IR221" s="421"/>
      <c r="IS221" s="413"/>
      <c r="IT221" s="414"/>
      <c r="IU221" s="414"/>
      <c r="IV221" s="414"/>
    </row>
    <row r="222" spans="1:256" ht="12.75">
      <c r="A222" s="362" t="s">
        <v>134</v>
      </c>
      <c r="B222" s="363"/>
      <c r="C222" s="364"/>
      <c r="D222" s="364"/>
      <c r="E222" s="364"/>
      <c r="F222" s="365"/>
      <c r="G222" s="357">
        <f>SUM(G220+G221)</f>
        <v>0</v>
      </c>
      <c r="H222" s="358"/>
      <c r="I222" s="340"/>
      <c r="J222" s="455"/>
      <c r="K222" s="455"/>
      <c r="L222" s="459"/>
      <c r="M222" s="457"/>
      <c r="N222" s="457"/>
      <c r="O222" s="457"/>
      <c r="P222" s="457"/>
      <c r="Q222" s="417"/>
      <c r="R222" s="411"/>
      <c r="S222" s="411"/>
      <c r="T222" s="421"/>
      <c r="U222" s="413"/>
      <c r="V222" s="414"/>
      <c r="W222" s="414"/>
      <c r="X222" s="414"/>
      <c r="Y222" s="411"/>
      <c r="Z222" s="411"/>
      <c r="AA222" s="411"/>
      <c r="AB222" s="421"/>
      <c r="AC222" s="413"/>
      <c r="AD222" s="414"/>
      <c r="AE222" s="414"/>
      <c r="AF222" s="414"/>
      <c r="AG222" s="411"/>
      <c r="AH222" s="411"/>
      <c r="AI222" s="411"/>
      <c r="AJ222" s="421"/>
      <c r="AK222" s="413"/>
      <c r="AL222" s="414"/>
      <c r="AM222" s="414"/>
      <c r="AN222" s="414"/>
      <c r="AO222" s="411"/>
      <c r="AP222" s="411"/>
      <c r="AQ222" s="411"/>
      <c r="AR222" s="421"/>
      <c r="AS222" s="413"/>
      <c r="AT222" s="414"/>
      <c r="AU222" s="414"/>
      <c r="AV222" s="414"/>
      <c r="AW222" s="411"/>
      <c r="AX222" s="411"/>
      <c r="AY222" s="411"/>
      <c r="AZ222" s="421"/>
      <c r="BA222" s="413"/>
      <c r="BB222" s="414"/>
      <c r="BC222" s="414"/>
      <c r="BD222" s="414"/>
      <c r="BE222" s="411"/>
      <c r="BF222" s="411"/>
      <c r="BG222" s="411"/>
      <c r="BH222" s="421"/>
      <c r="BI222" s="413"/>
      <c r="BJ222" s="414"/>
      <c r="BK222" s="414"/>
      <c r="BL222" s="414"/>
      <c r="BM222" s="411"/>
      <c r="BN222" s="411"/>
      <c r="BO222" s="411"/>
      <c r="BP222" s="421"/>
      <c r="BQ222" s="413"/>
      <c r="BR222" s="414"/>
      <c r="BS222" s="414"/>
      <c r="BT222" s="414"/>
      <c r="BU222" s="411"/>
      <c r="BV222" s="411"/>
      <c r="BW222" s="411"/>
      <c r="BX222" s="421"/>
      <c r="BY222" s="413"/>
      <c r="BZ222" s="414"/>
      <c r="CA222" s="414"/>
      <c r="CB222" s="414"/>
      <c r="CC222" s="411"/>
      <c r="CD222" s="411"/>
      <c r="CE222" s="411"/>
      <c r="CF222" s="421"/>
      <c r="CG222" s="413"/>
      <c r="CH222" s="414"/>
      <c r="CI222" s="414"/>
      <c r="CJ222" s="414"/>
      <c r="CK222" s="411"/>
      <c r="CL222" s="411"/>
      <c r="CM222" s="411"/>
      <c r="CN222" s="421"/>
      <c r="CO222" s="413"/>
      <c r="CP222" s="414"/>
      <c r="CQ222" s="414"/>
      <c r="CR222" s="414"/>
      <c r="CS222" s="411"/>
      <c r="CT222" s="411"/>
      <c r="CU222" s="411"/>
      <c r="CV222" s="421"/>
      <c r="CW222" s="413"/>
      <c r="CX222" s="414"/>
      <c r="CY222" s="414"/>
      <c r="CZ222" s="414"/>
      <c r="DA222" s="411"/>
      <c r="DB222" s="411"/>
      <c r="DC222" s="411"/>
      <c r="DD222" s="421"/>
      <c r="DE222" s="413"/>
      <c r="DF222" s="414"/>
      <c r="DG222" s="414"/>
      <c r="DH222" s="414"/>
      <c r="DI222" s="411"/>
      <c r="DJ222" s="411"/>
      <c r="DK222" s="411"/>
      <c r="DL222" s="421"/>
      <c r="DM222" s="413"/>
      <c r="DN222" s="414"/>
      <c r="DO222" s="414"/>
      <c r="DP222" s="414"/>
      <c r="DQ222" s="411"/>
      <c r="DR222" s="411"/>
      <c r="DS222" s="411"/>
      <c r="DT222" s="421"/>
      <c r="DU222" s="413"/>
      <c r="DV222" s="414"/>
      <c r="DW222" s="414"/>
      <c r="DX222" s="414"/>
      <c r="DY222" s="411"/>
      <c r="DZ222" s="411"/>
      <c r="EA222" s="411"/>
      <c r="EB222" s="421"/>
      <c r="EC222" s="413"/>
      <c r="ED222" s="414"/>
      <c r="EE222" s="414"/>
      <c r="EF222" s="414"/>
      <c r="EG222" s="411"/>
      <c r="EH222" s="411"/>
      <c r="EI222" s="411"/>
      <c r="EJ222" s="421"/>
      <c r="EK222" s="413"/>
      <c r="EL222" s="414"/>
      <c r="EM222" s="414"/>
      <c r="EN222" s="414"/>
      <c r="EO222" s="411"/>
      <c r="EP222" s="411"/>
      <c r="EQ222" s="411"/>
      <c r="ER222" s="421"/>
      <c r="ES222" s="413"/>
      <c r="ET222" s="414"/>
      <c r="EU222" s="414"/>
      <c r="EV222" s="414"/>
      <c r="EW222" s="411"/>
      <c r="EX222" s="411"/>
      <c r="EY222" s="411"/>
      <c r="EZ222" s="421"/>
      <c r="FA222" s="413"/>
      <c r="FB222" s="414"/>
      <c r="FC222" s="414"/>
      <c r="FD222" s="414"/>
      <c r="FE222" s="411"/>
      <c r="FF222" s="411"/>
      <c r="FG222" s="411"/>
      <c r="FH222" s="421"/>
      <c r="FI222" s="413"/>
      <c r="FJ222" s="414"/>
      <c r="FK222" s="414"/>
      <c r="FL222" s="414"/>
      <c r="FM222" s="411"/>
      <c r="FN222" s="411"/>
      <c r="FO222" s="411"/>
      <c r="FP222" s="421"/>
      <c r="FQ222" s="413"/>
      <c r="FR222" s="414"/>
      <c r="FS222" s="414"/>
      <c r="FT222" s="414"/>
      <c r="FU222" s="411"/>
      <c r="FV222" s="411"/>
      <c r="FW222" s="411"/>
      <c r="FX222" s="421"/>
      <c r="FY222" s="413"/>
      <c r="FZ222" s="414"/>
      <c r="GA222" s="414"/>
      <c r="GB222" s="414"/>
      <c r="GC222" s="411"/>
      <c r="GD222" s="411"/>
      <c r="GE222" s="411"/>
      <c r="GF222" s="421"/>
      <c r="GG222" s="413"/>
      <c r="GH222" s="414"/>
      <c r="GI222" s="414"/>
      <c r="GJ222" s="414"/>
      <c r="GK222" s="411"/>
      <c r="GL222" s="411"/>
      <c r="GM222" s="411"/>
      <c r="GN222" s="421"/>
      <c r="GO222" s="413"/>
      <c r="GP222" s="414"/>
      <c r="GQ222" s="414"/>
      <c r="GR222" s="414"/>
      <c r="GS222" s="411"/>
      <c r="GT222" s="411"/>
      <c r="GU222" s="411"/>
      <c r="GV222" s="421"/>
      <c r="GW222" s="413"/>
      <c r="GX222" s="414"/>
      <c r="GY222" s="414"/>
      <c r="GZ222" s="414"/>
      <c r="HA222" s="411"/>
      <c r="HB222" s="411"/>
      <c r="HC222" s="411"/>
      <c r="HD222" s="421"/>
      <c r="HE222" s="413"/>
      <c r="HF222" s="414"/>
      <c r="HG222" s="414"/>
      <c r="HH222" s="414"/>
      <c r="HI222" s="411"/>
      <c r="HJ222" s="411"/>
      <c r="HK222" s="411"/>
      <c r="HL222" s="421"/>
      <c r="HM222" s="413"/>
      <c r="HN222" s="414"/>
      <c r="HO222" s="414"/>
      <c r="HP222" s="414"/>
      <c r="HQ222" s="411"/>
      <c r="HR222" s="411"/>
      <c r="HS222" s="411"/>
      <c r="HT222" s="421"/>
      <c r="HU222" s="413"/>
      <c r="HV222" s="414"/>
      <c r="HW222" s="414"/>
      <c r="HX222" s="414"/>
      <c r="HY222" s="411"/>
      <c r="HZ222" s="411"/>
      <c r="IA222" s="411"/>
      <c r="IB222" s="421"/>
      <c r="IC222" s="413"/>
      <c r="ID222" s="414"/>
      <c r="IE222" s="414"/>
      <c r="IF222" s="414"/>
      <c r="IG222" s="411"/>
      <c r="IH222" s="411"/>
      <c r="II222" s="411"/>
      <c r="IJ222" s="421"/>
      <c r="IK222" s="413"/>
      <c r="IL222" s="414"/>
      <c r="IM222" s="414"/>
      <c r="IN222" s="414"/>
      <c r="IO222" s="411"/>
      <c r="IP222" s="411"/>
      <c r="IQ222" s="411"/>
      <c r="IR222" s="421"/>
      <c r="IS222" s="413"/>
      <c r="IT222" s="414"/>
      <c r="IU222" s="414"/>
      <c r="IV222" s="414"/>
    </row>
    <row r="223" spans="1:256" ht="7.5" customHeight="1">
      <c r="A223" s="589"/>
      <c r="B223" s="590"/>
      <c r="C223" s="407"/>
      <c r="D223" s="407"/>
      <c r="E223" s="407"/>
      <c r="F223" s="407"/>
      <c r="G223" s="407"/>
      <c r="H223" s="407"/>
      <c r="I223" s="467"/>
      <c r="J223" s="455"/>
      <c r="K223" s="455"/>
      <c r="L223" s="459"/>
      <c r="M223" s="457"/>
      <c r="N223" s="457"/>
      <c r="O223" s="457"/>
      <c r="P223" s="457"/>
      <c r="Q223" s="417"/>
      <c r="R223" s="411"/>
      <c r="S223" s="411"/>
      <c r="T223" s="421"/>
      <c r="U223" s="413"/>
      <c r="V223" s="414"/>
      <c r="W223" s="414"/>
      <c r="X223" s="414"/>
      <c r="Y223" s="411"/>
      <c r="Z223" s="411"/>
      <c r="AA223" s="411"/>
      <c r="AB223" s="421"/>
      <c r="AC223" s="413"/>
      <c r="AD223" s="414"/>
      <c r="AE223" s="414"/>
      <c r="AF223" s="414"/>
      <c r="AG223" s="411"/>
      <c r="AH223" s="411"/>
      <c r="AI223" s="411"/>
      <c r="AJ223" s="421"/>
      <c r="AK223" s="413"/>
      <c r="AL223" s="414"/>
      <c r="AM223" s="414"/>
      <c r="AN223" s="414"/>
      <c r="AO223" s="411"/>
      <c r="AP223" s="411"/>
      <c r="AQ223" s="411"/>
      <c r="AR223" s="421"/>
      <c r="AS223" s="413"/>
      <c r="AT223" s="414"/>
      <c r="AU223" s="414"/>
      <c r="AV223" s="414"/>
      <c r="AW223" s="411"/>
      <c r="AX223" s="411"/>
      <c r="AY223" s="411"/>
      <c r="AZ223" s="421"/>
      <c r="BA223" s="413"/>
      <c r="BB223" s="414"/>
      <c r="BC223" s="414"/>
      <c r="BD223" s="414"/>
      <c r="BE223" s="411"/>
      <c r="BF223" s="411"/>
      <c r="BG223" s="411"/>
      <c r="BH223" s="421"/>
      <c r="BI223" s="413"/>
      <c r="BJ223" s="414"/>
      <c r="BK223" s="414"/>
      <c r="BL223" s="414"/>
      <c r="BM223" s="411"/>
      <c r="BN223" s="411"/>
      <c r="BO223" s="411"/>
      <c r="BP223" s="421"/>
      <c r="BQ223" s="413"/>
      <c r="BR223" s="414"/>
      <c r="BS223" s="414"/>
      <c r="BT223" s="414"/>
      <c r="BU223" s="411"/>
      <c r="BV223" s="411"/>
      <c r="BW223" s="411"/>
      <c r="BX223" s="421"/>
      <c r="BY223" s="413"/>
      <c r="BZ223" s="414"/>
      <c r="CA223" s="414"/>
      <c r="CB223" s="414"/>
      <c r="CC223" s="411"/>
      <c r="CD223" s="411"/>
      <c r="CE223" s="411"/>
      <c r="CF223" s="421"/>
      <c r="CG223" s="413"/>
      <c r="CH223" s="414"/>
      <c r="CI223" s="414"/>
      <c r="CJ223" s="414"/>
      <c r="CK223" s="411"/>
      <c r="CL223" s="411"/>
      <c r="CM223" s="411"/>
      <c r="CN223" s="421"/>
      <c r="CO223" s="413"/>
      <c r="CP223" s="414"/>
      <c r="CQ223" s="414"/>
      <c r="CR223" s="414"/>
      <c r="CS223" s="411"/>
      <c r="CT223" s="411"/>
      <c r="CU223" s="411"/>
      <c r="CV223" s="421"/>
      <c r="CW223" s="413"/>
      <c r="CX223" s="414"/>
      <c r="CY223" s="414"/>
      <c r="CZ223" s="414"/>
      <c r="DA223" s="411"/>
      <c r="DB223" s="411"/>
      <c r="DC223" s="411"/>
      <c r="DD223" s="421"/>
      <c r="DE223" s="413"/>
      <c r="DF223" s="414"/>
      <c r="DG223" s="414"/>
      <c r="DH223" s="414"/>
      <c r="DI223" s="411"/>
      <c r="DJ223" s="411"/>
      <c r="DK223" s="411"/>
      <c r="DL223" s="421"/>
      <c r="DM223" s="413"/>
      <c r="DN223" s="414"/>
      <c r="DO223" s="414"/>
      <c r="DP223" s="414"/>
      <c r="DQ223" s="411"/>
      <c r="DR223" s="411"/>
      <c r="DS223" s="411"/>
      <c r="DT223" s="421"/>
      <c r="DU223" s="413"/>
      <c r="DV223" s="414"/>
      <c r="DW223" s="414"/>
      <c r="DX223" s="414"/>
      <c r="DY223" s="411"/>
      <c r="DZ223" s="411"/>
      <c r="EA223" s="411"/>
      <c r="EB223" s="421"/>
      <c r="EC223" s="413"/>
      <c r="ED223" s="414"/>
      <c r="EE223" s="414"/>
      <c r="EF223" s="414"/>
      <c r="EG223" s="411"/>
      <c r="EH223" s="411"/>
      <c r="EI223" s="411"/>
      <c r="EJ223" s="421"/>
      <c r="EK223" s="413"/>
      <c r="EL223" s="414"/>
      <c r="EM223" s="414"/>
      <c r="EN223" s="414"/>
      <c r="EO223" s="411"/>
      <c r="EP223" s="411"/>
      <c r="EQ223" s="411"/>
      <c r="ER223" s="421"/>
      <c r="ES223" s="413"/>
      <c r="ET223" s="414"/>
      <c r="EU223" s="414"/>
      <c r="EV223" s="414"/>
      <c r="EW223" s="411"/>
      <c r="EX223" s="411"/>
      <c r="EY223" s="411"/>
      <c r="EZ223" s="421"/>
      <c r="FA223" s="413"/>
      <c r="FB223" s="414"/>
      <c r="FC223" s="414"/>
      <c r="FD223" s="414"/>
      <c r="FE223" s="411"/>
      <c r="FF223" s="411"/>
      <c r="FG223" s="411"/>
      <c r="FH223" s="421"/>
      <c r="FI223" s="413"/>
      <c r="FJ223" s="414"/>
      <c r="FK223" s="414"/>
      <c r="FL223" s="414"/>
      <c r="FM223" s="411"/>
      <c r="FN223" s="411"/>
      <c r="FO223" s="411"/>
      <c r="FP223" s="421"/>
      <c r="FQ223" s="413"/>
      <c r="FR223" s="414"/>
      <c r="FS223" s="414"/>
      <c r="FT223" s="414"/>
      <c r="FU223" s="411"/>
      <c r="FV223" s="411"/>
      <c r="FW223" s="411"/>
      <c r="FX223" s="421"/>
      <c r="FY223" s="413"/>
      <c r="FZ223" s="414"/>
      <c r="GA223" s="414"/>
      <c r="GB223" s="414"/>
      <c r="GC223" s="411"/>
      <c r="GD223" s="411"/>
      <c r="GE223" s="411"/>
      <c r="GF223" s="421"/>
      <c r="GG223" s="413"/>
      <c r="GH223" s="414"/>
      <c r="GI223" s="414"/>
      <c r="GJ223" s="414"/>
      <c r="GK223" s="411"/>
      <c r="GL223" s="411"/>
      <c r="GM223" s="411"/>
      <c r="GN223" s="421"/>
      <c r="GO223" s="413"/>
      <c r="GP223" s="414"/>
      <c r="GQ223" s="414"/>
      <c r="GR223" s="414"/>
      <c r="GS223" s="411"/>
      <c r="GT223" s="411"/>
      <c r="GU223" s="411"/>
      <c r="GV223" s="421"/>
      <c r="GW223" s="413"/>
      <c r="GX223" s="414"/>
      <c r="GY223" s="414"/>
      <c r="GZ223" s="414"/>
      <c r="HA223" s="411"/>
      <c r="HB223" s="411"/>
      <c r="HC223" s="411"/>
      <c r="HD223" s="421"/>
      <c r="HE223" s="413"/>
      <c r="HF223" s="414"/>
      <c r="HG223" s="414"/>
      <c r="HH223" s="414"/>
      <c r="HI223" s="411"/>
      <c r="HJ223" s="411"/>
      <c r="HK223" s="411"/>
      <c r="HL223" s="421"/>
      <c r="HM223" s="413"/>
      <c r="HN223" s="414"/>
      <c r="HO223" s="414"/>
      <c r="HP223" s="414"/>
      <c r="HQ223" s="411"/>
      <c r="HR223" s="411"/>
      <c r="HS223" s="411"/>
      <c r="HT223" s="421"/>
      <c r="HU223" s="413"/>
      <c r="HV223" s="414"/>
      <c r="HW223" s="414"/>
      <c r="HX223" s="414"/>
      <c r="HY223" s="411"/>
      <c r="HZ223" s="411"/>
      <c r="IA223" s="411"/>
      <c r="IB223" s="421"/>
      <c r="IC223" s="413"/>
      <c r="ID223" s="414"/>
      <c r="IE223" s="414"/>
      <c r="IF223" s="414"/>
      <c r="IG223" s="411"/>
      <c r="IH223" s="411"/>
      <c r="II223" s="411"/>
      <c r="IJ223" s="421"/>
      <c r="IK223" s="413"/>
      <c r="IL223" s="414"/>
      <c r="IM223" s="414"/>
      <c r="IN223" s="414"/>
      <c r="IO223" s="411"/>
      <c r="IP223" s="411"/>
      <c r="IQ223" s="411"/>
      <c r="IR223" s="421"/>
      <c r="IS223" s="413"/>
      <c r="IT223" s="414"/>
      <c r="IU223" s="414"/>
      <c r="IV223" s="414"/>
    </row>
    <row r="224" spans="1:256" ht="25.5" customHeight="1">
      <c r="A224" s="366" t="s">
        <v>248</v>
      </c>
      <c r="B224" s="367"/>
      <c r="C224" s="353" t="s">
        <v>192</v>
      </c>
      <c r="D224" s="353"/>
      <c r="E224" s="344">
        <v>0</v>
      </c>
      <c r="F224" s="344"/>
      <c r="G224" s="345">
        <v>0</v>
      </c>
      <c r="H224" s="346"/>
      <c r="I224" s="337"/>
      <c r="J224" s="458"/>
      <c r="K224" s="458"/>
      <c r="L224" s="459"/>
      <c r="M224" s="457"/>
      <c r="N224" s="457"/>
      <c r="O224" s="457"/>
      <c r="P224" s="457"/>
      <c r="Q224" s="419" t="s">
        <v>159</v>
      </c>
      <c r="R224" s="419"/>
      <c r="S224" s="420"/>
      <c r="T224" s="421"/>
      <c r="U224" s="413"/>
      <c r="V224" s="414"/>
      <c r="W224" s="414"/>
      <c r="X224" s="414"/>
      <c r="Y224" s="418" t="s">
        <v>159</v>
      </c>
      <c r="Z224" s="419"/>
      <c r="AA224" s="420"/>
      <c r="AB224" s="421"/>
      <c r="AC224" s="413"/>
      <c r="AD224" s="414"/>
      <c r="AE224" s="414"/>
      <c r="AF224" s="414"/>
      <c r="AG224" s="418" t="s">
        <v>159</v>
      </c>
      <c r="AH224" s="419"/>
      <c r="AI224" s="420"/>
      <c r="AJ224" s="421"/>
      <c r="AK224" s="413"/>
      <c r="AL224" s="414"/>
      <c r="AM224" s="414"/>
      <c r="AN224" s="414"/>
      <c r="AO224" s="418" t="s">
        <v>159</v>
      </c>
      <c r="AP224" s="419"/>
      <c r="AQ224" s="420"/>
      <c r="AR224" s="421"/>
      <c r="AS224" s="413"/>
      <c r="AT224" s="414"/>
      <c r="AU224" s="414"/>
      <c r="AV224" s="414"/>
      <c r="AW224" s="418" t="s">
        <v>159</v>
      </c>
      <c r="AX224" s="419"/>
      <c r="AY224" s="420"/>
      <c r="AZ224" s="421"/>
      <c r="BA224" s="413"/>
      <c r="BB224" s="414"/>
      <c r="BC224" s="414"/>
      <c r="BD224" s="414"/>
      <c r="BE224" s="418" t="s">
        <v>159</v>
      </c>
      <c r="BF224" s="419"/>
      <c r="BG224" s="420"/>
      <c r="BH224" s="421"/>
      <c r="BI224" s="413"/>
      <c r="BJ224" s="414"/>
      <c r="BK224" s="414"/>
      <c r="BL224" s="414"/>
      <c r="BM224" s="418" t="s">
        <v>159</v>
      </c>
      <c r="BN224" s="419"/>
      <c r="BO224" s="420"/>
      <c r="BP224" s="421"/>
      <c r="BQ224" s="413"/>
      <c r="BR224" s="414"/>
      <c r="BS224" s="414"/>
      <c r="BT224" s="414"/>
      <c r="BU224" s="418" t="s">
        <v>159</v>
      </c>
      <c r="BV224" s="419"/>
      <c r="BW224" s="420"/>
      <c r="BX224" s="421"/>
      <c r="BY224" s="413"/>
      <c r="BZ224" s="414"/>
      <c r="CA224" s="414"/>
      <c r="CB224" s="414"/>
      <c r="CC224" s="418" t="s">
        <v>159</v>
      </c>
      <c r="CD224" s="419"/>
      <c r="CE224" s="420"/>
      <c r="CF224" s="421"/>
      <c r="CG224" s="413"/>
      <c r="CH224" s="414"/>
      <c r="CI224" s="414"/>
      <c r="CJ224" s="414"/>
      <c r="CK224" s="418" t="s">
        <v>159</v>
      </c>
      <c r="CL224" s="419"/>
      <c r="CM224" s="420"/>
      <c r="CN224" s="421"/>
      <c r="CO224" s="413"/>
      <c r="CP224" s="414"/>
      <c r="CQ224" s="414"/>
      <c r="CR224" s="414"/>
      <c r="CS224" s="418" t="s">
        <v>159</v>
      </c>
      <c r="CT224" s="419"/>
      <c r="CU224" s="420"/>
      <c r="CV224" s="421"/>
      <c r="CW224" s="413"/>
      <c r="CX224" s="414"/>
      <c r="CY224" s="414"/>
      <c r="CZ224" s="414"/>
      <c r="DA224" s="418" t="s">
        <v>159</v>
      </c>
      <c r="DB224" s="419"/>
      <c r="DC224" s="420"/>
      <c r="DD224" s="421"/>
      <c r="DE224" s="413"/>
      <c r="DF224" s="414"/>
      <c r="DG224" s="414"/>
      <c r="DH224" s="414"/>
      <c r="DI224" s="418" t="s">
        <v>159</v>
      </c>
      <c r="DJ224" s="419"/>
      <c r="DK224" s="420"/>
      <c r="DL224" s="421"/>
      <c r="DM224" s="413"/>
      <c r="DN224" s="414"/>
      <c r="DO224" s="414"/>
      <c r="DP224" s="414"/>
      <c r="DQ224" s="418" t="s">
        <v>159</v>
      </c>
      <c r="DR224" s="419"/>
      <c r="DS224" s="420"/>
      <c r="DT224" s="421"/>
      <c r="DU224" s="413"/>
      <c r="DV224" s="414"/>
      <c r="DW224" s="414"/>
      <c r="DX224" s="414"/>
      <c r="DY224" s="418" t="s">
        <v>159</v>
      </c>
      <c r="DZ224" s="419"/>
      <c r="EA224" s="420"/>
      <c r="EB224" s="421"/>
      <c r="EC224" s="413"/>
      <c r="ED224" s="414"/>
      <c r="EE224" s="414"/>
      <c r="EF224" s="414"/>
      <c r="EG224" s="418" t="s">
        <v>159</v>
      </c>
      <c r="EH224" s="419"/>
      <c r="EI224" s="420"/>
      <c r="EJ224" s="421"/>
      <c r="EK224" s="413"/>
      <c r="EL224" s="414"/>
      <c r="EM224" s="414"/>
      <c r="EN224" s="414"/>
      <c r="EO224" s="418" t="s">
        <v>159</v>
      </c>
      <c r="EP224" s="419"/>
      <c r="EQ224" s="420"/>
      <c r="ER224" s="421"/>
      <c r="ES224" s="413"/>
      <c r="ET224" s="414"/>
      <c r="EU224" s="414"/>
      <c r="EV224" s="414"/>
      <c r="EW224" s="418" t="s">
        <v>159</v>
      </c>
      <c r="EX224" s="419"/>
      <c r="EY224" s="420"/>
      <c r="EZ224" s="421"/>
      <c r="FA224" s="413"/>
      <c r="FB224" s="414"/>
      <c r="FC224" s="414"/>
      <c r="FD224" s="414"/>
      <c r="FE224" s="418" t="s">
        <v>159</v>
      </c>
      <c r="FF224" s="419"/>
      <c r="FG224" s="420"/>
      <c r="FH224" s="421"/>
      <c r="FI224" s="413"/>
      <c r="FJ224" s="414"/>
      <c r="FK224" s="414"/>
      <c r="FL224" s="414"/>
      <c r="FM224" s="418" t="s">
        <v>159</v>
      </c>
      <c r="FN224" s="419"/>
      <c r="FO224" s="420"/>
      <c r="FP224" s="421"/>
      <c r="FQ224" s="413"/>
      <c r="FR224" s="414"/>
      <c r="FS224" s="414"/>
      <c r="FT224" s="414"/>
      <c r="FU224" s="418" t="s">
        <v>159</v>
      </c>
      <c r="FV224" s="419"/>
      <c r="FW224" s="420"/>
      <c r="FX224" s="421"/>
      <c r="FY224" s="413"/>
      <c r="FZ224" s="414"/>
      <c r="GA224" s="414"/>
      <c r="GB224" s="414"/>
      <c r="GC224" s="418" t="s">
        <v>159</v>
      </c>
      <c r="GD224" s="419"/>
      <c r="GE224" s="420"/>
      <c r="GF224" s="421"/>
      <c r="GG224" s="413"/>
      <c r="GH224" s="414"/>
      <c r="GI224" s="414"/>
      <c r="GJ224" s="414"/>
      <c r="GK224" s="418" t="s">
        <v>159</v>
      </c>
      <c r="GL224" s="419"/>
      <c r="GM224" s="420"/>
      <c r="GN224" s="421"/>
      <c r="GO224" s="413"/>
      <c r="GP224" s="414"/>
      <c r="GQ224" s="414"/>
      <c r="GR224" s="414"/>
      <c r="GS224" s="418" t="s">
        <v>159</v>
      </c>
      <c r="GT224" s="419"/>
      <c r="GU224" s="420"/>
      <c r="GV224" s="421"/>
      <c r="GW224" s="413"/>
      <c r="GX224" s="414"/>
      <c r="GY224" s="414"/>
      <c r="GZ224" s="414"/>
      <c r="HA224" s="418" t="s">
        <v>159</v>
      </c>
      <c r="HB224" s="419"/>
      <c r="HC224" s="420"/>
      <c r="HD224" s="421"/>
      <c r="HE224" s="413"/>
      <c r="HF224" s="414"/>
      <c r="HG224" s="414"/>
      <c r="HH224" s="414"/>
      <c r="HI224" s="418" t="s">
        <v>159</v>
      </c>
      <c r="HJ224" s="419"/>
      <c r="HK224" s="420"/>
      <c r="HL224" s="421"/>
      <c r="HM224" s="413"/>
      <c r="HN224" s="414"/>
      <c r="HO224" s="414"/>
      <c r="HP224" s="414"/>
      <c r="HQ224" s="418" t="s">
        <v>159</v>
      </c>
      <c r="HR224" s="419"/>
      <c r="HS224" s="420"/>
      <c r="HT224" s="421"/>
      <c r="HU224" s="413"/>
      <c r="HV224" s="414"/>
      <c r="HW224" s="414"/>
      <c r="HX224" s="414"/>
      <c r="HY224" s="418" t="s">
        <v>159</v>
      </c>
      <c r="HZ224" s="419"/>
      <c r="IA224" s="420"/>
      <c r="IB224" s="421"/>
      <c r="IC224" s="413"/>
      <c r="ID224" s="414"/>
      <c r="IE224" s="414"/>
      <c r="IF224" s="414"/>
      <c r="IG224" s="418" t="s">
        <v>159</v>
      </c>
      <c r="IH224" s="419"/>
      <c r="II224" s="420"/>
      <c r="IJ224" s="421"/>
      <c r="IK224" s="413"/>
      <c r="IL224" s="414"/>
      <c r="IM224" s="414"/>
      <c r="IN224" s="414"/>
      <c r="IO224" s="418" t="s">
        <v>159</v>
      </c>
      <c r="IP224" s="419"/>
      <c r="IQ224" s="420"/>
      <c r="IR224" s="421"/>
      <c r="IS224" s="413"/>
      <c r="IT224" s="414"/>
      <c r="IU224" s="414"/>
      <c r="IV224" s="414"/>
    </row>
    <row r="225" spans="1:256" ht="25.5" customHeight="1">
      <c r="A225" s="366" t="s">
        <v>235</v>
      </c>
      <c r="B225" s="367"/>
      <c r="C225" s="356" t="s">
        <v>193</v>
      </c>
      <c r="D225" s="356"/>
      <c r="E225" s="351">
        <f>I180</f>
        <v>2721.2</v>
      </c>
      <c r="F225" s="352"/>
      <c r="G225" s="345">
        <f>ROUND((1/800)*E225,2)</f>
        <v>3.4</v>
      </c>
      <c r="H225" s="359"/>
      <c r="I225" s="337"/>
      <c r="J225" s="455"/>
      <c r="K225" s="455"/>
      <c r="L225" s="459"/>
      <c r="M225" s="457"/>
      <c r="N225" s="457"/>
      <c r="O225" s="457"/>
      <c r="P225" s="457"/>
      <c r="Q225" s="417"/>
      <c r="R225" s="411"/>
      <c r="S225" s="411"/>
      <c r="T225" s="421"/>
      <c r="U225" s="413"/>
      <c r="V225" s="414"/>
      <c r="W225" s="414"/>
      <c r="X225" s="414"/>
      <c r="Y225" s="411"/>
      <c r="Z225" s="411"/>
      <c r="AA225" s="411"/>
      <c r="AB225" s="421"/>
      <c r="AC225" s="413"/>
      <c r="AD225" s="414"/>
      <c r="AE225" s="414"/>
      <c r="AF225" s="414"/>
      <c r="AG225" s="411"/>
      <c r="AH225" s="411"/>
      <c r="AI225" s="411"/>
      <c r="AJ225" s="421"/>
      <c r="AK225" s="413"/>
      <c r="AL225" s="414"/>
      <c r="AM225" s="414"/>
      <c r="AN225" s="414"/>
      <c r="AO225" s="411"/>
      <c r="AP225" s="411"/>
      <c r="AQ225" s="411"/>
      <c r="AR225" s="421"/>
      <c r="AS225" s="413"/>
      <c r="AT225" s="414"/>
      <c r="AU225" s="414"/>
      <c r="AV225" s="414"/>
      <c r="AW225" s="411"/>
      <c r="AX225" s="411"/>
      <c r="AY225" s="411"/>
      <c r="AZ225" s="421"/>
      <c r="BA225" s="413"/>
      <c r="BB225" s="414"/>
      <c r="BC225" s="414"/>
      <c r="BD225" s="414"/>
      <c r="BE225" s="411"/>
      <c r="BF225" s="411"/>
      <c r="BG225" s="411"/>
      <c r="BH225" s="421"/>
      <c r="BI225" s="413"/>
      <c r="BJ225" s="414"/>
      <c r="BK225" s="414"/>
      <c r="BL225" s="414"/>
      <c r="BM225" s="411"/>
      <c r="BN225" s="411"/>
      <c r="BO225" s="411"/>
      <c r="BP225" s="421"/>
      <c r="BQ225" s="413"/>
      <c r="BR225" s="414"/>
      <c r="BS225" s="414"/>
      <c r="BT225" s="414"/>
      <c r="BU225" s="411"/>
      <c r="BV225" s="411"/>
      <c r="BW225" s="411"/>
      <c r="BX225" s="421"/>
      <c r="BY225" s="413"/>
      <c r="BZ225" s="414"/>
      <c r="CA225" s="414"/>
      <c r="CB225" s="414"/>
      <c r="CC225" s="411"/>
      <c r="CD225" s="411"/>
      <c r="CE225" s="411"/>
      <c r="CF225" s="421"/>
      <c r="CG225" s="413"/>
      <c r="CH225" s="414"/>
      <c r="CI225" s="414"/>
      <c r="CJ225" s="414"/>
      <c r="CK225" s="411"/>
      <c r="CL225" s="411"/>
      <c r="CM225" s="411"/>
      <c r="CN225" s="421"/>
      <c r="CO225" s="413"/>
      <c r="CP225" s="414"/>
      <c r="CQ225" s="414"/>
      <c r="CR225" s="414"/>
      <c r="CS225" s="411"/>
      <c r="CT225" s="411"/>
      <c r="CU225" s="411"/>
      <c r="CV225" s="421"/>
      <c r="CW225" s="413"/>
      <c r="CX225" s="414"/>
      <c r="CY225" s="414"/>
      <c r="CZ225" s="414"/>
      <c r="DA225" s="411"/>
      <c r="DB225" s="411"/>
      <c r="DC225" s="411"/>
      <c r="DD225" s="421"/>
      <c r="DE225" s="413"/>
      <c r="DF225" s="414"/>
      <c r="DG225" s="414"/>
      <c r="DH225" s="414"/>
      <c r="DI225" s="411"/>
      <c r="DJ225" s="411"/>
      <c r="DK225" s="411"/>
      <c r="DL225" s="421"/>
      <c r="DM225" s="413"/>
      <c r="DN225" s="414"/>
      <c r="DO225" s="414"/>
      <c r="DP225" s="414"/>
      <c r="DQ225" s="411"/>
      <c r="DR225" s="411"/>
      <c r="DS225" s="411"/>
      <c r="DT225" s="421"/>
      <c r="DU225" s="413"/>
      <c r="DV225" s="414"/>
      <c r="DW225" s="414"/>
      <c r="DX225" s="414"/>
      <c r="DY225" s="411"/>
      <c r="DZ225" s="411"/>
      <c r="EA225" s="411"/>
      <c r="EB225" s="421"/>
      <c r="EC225" s="413"/>
      <c r="ED225" s="414"/>
      <c r="EE225" s="414"/>
      <c r="EF225" s="414"/>
      <c r="EG225" s="411"/>
      <c r="EH225" s="411"/>
      <c r="EI225" s="411"/>
      <c r="EJ225" s="421"/>
      <c r="EK225" s="413"/>
      <c r="EL225" s="414"/>
      <c r="EM225" s="414"/>
      <c r="EN225" s="414"/>
      <c r="EO225" s="411"/>
      <c r="EP225" s="411"/>
      <c r="EQ225" s="411"/>
      <c r="ER225" s="421"/>
      <c r="ES225" s="413"/>
      <c r="ET225" s="414"/>
      <c r="EU225" s="414"/>
      <c r="EV225" s="414"/>
      <c r="EW225" s="411"/>
      <c r="EX225" s="411"/>
      <c r="EY225" s="411"/>
      <c r="EZ225" s="421"/>
      <c r="FA225" s="413"/>
      <c r="FB225" s="414"/>
      <c r="FC225" s="414"/>
      <c r="FD225" s="414"/>
      <c r="FE225" s="411"/>
      <c r="FF225" s="411"/>
      <c r="FG225" s="411"/>
      <c r="FH225" s="421"/>
      <c r="FI225" s="413"/>
      <c r="FJ225" s="414"/>
      <c r="FK225" s="414"/>
      <c r="FL225" s="414"/>
      <c r="FM225" s="411"/>
      <c r="FN225" s="411"/>
      <c r="FO225" s="411"/>
      <c r="FP225" s="421"/>
      <c r="FQ225" s="413"/>
      <c r="FR225" s="414"/>
      <c r="FS225" s="414"/>
      <c r="FT225" s="414"/>
      <c r="FU225" s="411"/>
      <c r="FV225" s="411"/>
      <c r="FW225" s="411"/>
      <c r="FX225" s="421"/>
      <c r="FY225" s="413"/>
      <c r="FZ225" s="414"/>
      <c r="GA225" s="414"/>
      <c r="GB225" s="414"/>
      <c r="GC225" s="411"/>
      <c r="GD225" s="411"/>
      <c r="GE225" s="411"/>
      <c r="GF225" s="421"/>
      <c r="GG225" s="413"/>
      <c r="GH225" s="414"/>
      <c r="GI225" s="414"/>
      <c r="GJ225" s="414"/>
      <c r="GK225" s="411"/>
      <c r="GL225" s="411"/>
      <c r="GM225" s="411"/>
      <c r="GN225" s="421"/>
      <c r="GO225" s="413"/>
      <c r="GP225" s="414"/>
      <c r="GQ225" s="414"/>
      <c r="GR225" s="414"/>
      <c r="GS225" s="411"/>
      <c r="GT225" s="411"/>
      <c r="GU225" s="411"/>
      <c r="GV225" s="421"/>
      <c r="GW225" s="413"/>
      <c r="GX225" s="414"/>
      <c r="GY225" s="414"/>
      <c r="GZ225" s="414"/>
      <c r="HA225" s="411"/>
      <c r="HB225" s="411"/>
      <c r="HC225" s="411"/>
      <c r="HD225" s="421"/>
      <c r="HE225" s="413"/>
      <c r="HF225" s="414"/>
      <c r="HG225" s="414"/>
      <c r="HH225" s="414"/>
      <c r="HI225" s="411"/>
      <c r="HJ225" s="411"/>
      <c r="HK225" s="411"/>
      <c r="HL225" s="421"/>
      <c r="HM225" s="413"/>
      <c r="HN225" s="414"/>
      <c r="HO225" s="414"/>
      <c r="HP225" s="414"/>
      <c r="HQ225" s="411"/>
      <c r="HR225" s="411"/>
      <c r="HS225" s="411"/>
      <c r="HT225" s="421"/>
      <c r="HU225" s="413"/>
      <c r="HV225" s="414"/>
      <c r="HW225" s="414"/>
      <c r="HX225" s="414"/>
      <c r="HY225" s="411"/>
      <c r="HZ225" s="411"/>
      <c r="IA225" s="411"/>
      <c r="IB225" s="421"/>
      <c r="IC225" s="413"/>
      <c r="ID225" s="414"/>
      <c r="IE225" s="414"/>
      <c r="IF225" s="414"/>
      <c r="IG225" s="411"/>
      <c r="IH225" s="411"/>
      <c r="II225" s="411"/>
      <c r="IJ225" s="421"/>
      <c r="IK225" s="413"/>
      <c r="IL225" s="414"/>
      <c r="IM225" s="414"/>
      <c r="IN225" s="414"/>
      <c r="IO225" s="411"/>
      <c r="IP225" s="411"/>
      <c r="IQ225" s="411"/>
      <c r="IR225" s="421"/>
      <c r="IS225" s="413"/>
      <c r="IT225" s="414"/>
      <c r="IU225" s="414"/>
      <c r="IV225" s="414"/>
    </row>
    <row r="226" spans="1:256" ht="14.25" customHeight="1">
      <c r="A226" s="347" t="s">
        <v>134</v>
      </c>
      <c r="B226" s="348"/>
      <c r="C226" s="349"/>
      <c r="D226" s="349"/>
      <c r="E226" s="349"/>
      <c r="F226" s="350"/>
      <c r="G226" s="401">
        <f>SUM(G224+G225)</f>
        <v>3.4</v>
      </c>
      <c r="H226" s="402"/>
      <c r="I226" s="403"/>
      <c r="J226" s="455"/>
      <c r="K226" s="455"/>
      <c r="L226" s="459"/>
      <c r="M226" s="457"/>
      <c r="N226" s="457"/>
      <c r="O226" s="457"/>
      <c r="P226" s="457"/>
      <c r="Q226" s="417"/>
      <c r="R226" s="411"/>
      <c r="S226" s="411"/>
      <c r="T226" s="421"/>
      <c r="U226" s="413"/>
      <c r="V226" s="414"/>
      <c r="W226" s="414"/>
      <c r="X226" s="414"/>
      <c r="Y226" s="411"/>
      <c r="Z226" s="411"/>
      <c r="AA226" s="411"/>
      <c r="AB226" s="421"/>
      <c r="AC226" s="413"/>
      <c r="AD226" s="414"/>
      <c r="AE226" s="414"/>
      <c r="AF226" s="414"/>
      <c r="AG226" s="411"/>
      <c r="AH226" s="411"/>
      <c r="AI226" s="411"/>
      <c r="AJ226" s="421"/>
      <c r="AK226" s="413"/>
      <c r="AL226" s="414"/>
      <c r="AM226" s="414"/>
      <c r="AN226" s="414"/>
      <c r="AO226" s="411"/>
      <c r="AP226" s="411"/>
      <c r="AQ226" s="411"/>
      <c r="AR226" s="421"/>
      <c r="AS226" s="413"/>
      <c r="AT226" s="414"/>
      <c r="AU226" s="414"/>
      <c r="AV226" s="414"/>
      <c r="AW226" s="411"/>
      <c r="AX226" s="411"/>
      <c r="AY226" s="411"/>
      <c r="AZ226" s="421"/>
      <c r="BA226" s="413"/>
      <c r="BB226" s="414"/>
      <c r="BC226" s="414"/>
      <c r="BD226" s="414"/>
      <c r="BE226" s="411"/>
      <c r="BF226" s="411"/>
      <c r="BG226" s="411"/>
      <c r="BH226" s="421"/>
      <c r="BI226" s="413"/>
      <c r="BJ226" s="414"/>
      <c r="BK226" s="414"/>
      <c r="BL226" s="414"/>
      <c r="BM226" s="411"/>
      <c r="BN226" s="411"/>
      <c r="BO226" s="411"/>
      <c r="BP226" s="421"/>
      <c r="BQ226" s="413"/>
      <c r="BR226" s="414"/>
      <c r="BS226" s="414"/>
      <c r="BT226" s="414"/>
      <c r="BU226" s="411"/>
      <c r="BV226" s="411"/>
      <c r="BW226" s="411"/>
      <c r="BX226" s="421"/>
      <c r="BY226" s="413"/>
      <c r="BZ226" s="414"/>
      <c r="CA226" s="414"/>
      <c r="CB226" s="414"/>
      <c r="CC226" s="411"/>
      <c r="CD226" s="411"/>
      <c r="CE226" s="411"/>
      <c r="CF226" s="421"/>
      <c r="CG226" s="413"/>
      <c r="CH226" s="414"/>
      <c r="CI226" s="414"/>
      <c r="CJ226" s="414"/>
      <c r="CK226" s="411"/>
      <c r="CL226" s="411"/>
      <c r="CM226" s="411"/>
      <c r="CN226" s="421"/>
      <c r="CO226" s="413"/>
      <c r="CP226" s="414"/>
      <c r="CQ226" s="414"/>
      <c r="CR226" s="414"/>
      <c r="CS226" s="411"/>
      <c r="CT226" s="411"/>
      <c r="CU226" s="411"/>
      <c r="CV226" s="421"/>
      <c r="CW226" s="413"/>
      <c r="CX226" s="414"/>
      <c r="CY226" s="414"/>
      <c r="CZ226" s="414"/>
      <c r="DA226" s="411"/>
      <c r="DB226" s="411"/>
      <c r="DC226" s="411"/>
      <c r="DD226" s="421"/>
      <c r="DE226" s="413"/>
      <c r="DF226" s="414"/>
      <c r="DG226" s="414"/>
      <c r="DH226" s="414"/>
      <c r="DI226" s="411"/>
      <c r="DJ226" s="411"/>
      <c r="DK226" s="411"/>
      <c r="DL226" s="421"/>
      <c r="DM226" s="413"/>
      <c r="DN226" s="414"/>
      <c r="DO226" s="414"/>
      <c r="DP226" s="414"/>
      <c r="DQ226" s="411"/>
      <c r="DR226" s="411"/>
      <c r="DS226" s="411"/>
      <c r="DT226" s="421"/>
      <c r="DU226" s="413"/>
      <c r="DV226" s="414"/>
      <c r="DW226" s="414"/>
      <c r="DX226" s="414"/>
      <c r="DY226" s="411"/>
      <c r="DZ226" s="411"/>
      <c r="EA226" s="411"/>
      <c r="EB226" s="421"/>
      <c r="EC226" s="413"/>
      <c r="ED226" s="414"/>
      <c r="EE226" s="414"/>
      <c r="EF226" s="414"/>
      <c r="EG226" s="411"/>
      <c r="EH226" s="411"/>
      <c r="EI226" s="411"/>
      <c r="EJ226" s="421"/>
      <c r="EK226" s="413"/>
      <c r="EL226" s="414"/>
      <c r="EM226" s="414"/>
      <c r="EN226" s="414"/>
      <c r="EO226" s="411"/>
      <c r="EP226" s="411"/>
      <c r="EQ226" s="411"/>
      <c r="ER226" s="421"/>
      <c r="ES226" s="413"/>
      <c r="ET226" s="414"/>
      <c r="EU226" s="414"/>
      <c r="EV226" s="414"/>
      <c r="EW226" s="411"/>
      <c r="EX226" s="411"/>
      <c r="EY226" s="411"/>
      <c r="EZ226" s="421"/>
      <c r="FA226" s="413"/>
      <c r="FB226" s="414"/>
      <c r="FC226" s="414"/>
      <c r="FD226" s="414"/>
      <c r="FE226" s="411"/>
      <c r="FF226" s="411"/>
      <c r="FG226" s="411"/>
      <c r="FH226" s="421"/>
      <c r="FI226" s="413"/>
      <c r="FJ226" s="414"/>
      <c r="FK226" s="414"/>
      <c r="FL226" s="414"/>
      <c r="FM226" s="411"/>
      <c r="FN226" s="411"/>
      <c r="FO226" s="411"/>
      <c r="FP226" s="421"/>
      <c r="FQ226" s="413"/>
      <c r="FR226" s="414"/>
      <c r="FS226" s="414"/>
      <c r="FT226" s="414"/>
      <c r="FU226" s="411"/>
      <c r="FV226" s="411"/>
      <c r="FW226" s="411"/>
      <c r="FX226" s="421"/>
      <c r="FY226" s="413"/>
      <c r="FZ226" s="414"/>
      <c r="GA226" s="414"/>
      <c r="GB226" s="414"/>
      <c r="GC226" s="411"/>
      <c r="GD226" s="411"/>
      <c r="GE226" s="411"/>
      <c r="GF226" s="421"/>
      <c r="GG226" s="413"/>
      <c r="GH226" s="414"/>
      <c r="GI226" s="414"/>
      <c r="GJ226" s="414"/>
      <c r="GK226" s="411"/>
      <c r="GL226" s="411"/>
      <c r="GM226" s="411"/>
      <c r="GN226" s="421"/>
      <c r="GO226" s="413"/>
      <c r="GP226" s="414"/>
      <c r="GQ226" s="414"/>
      <c r="GR226" s="414"/>
      <c r="GS226" s="411"/>
      <c r="GT226" s="411"/>
      <c r="GU226" s="411"/>
      <c r="GV226" s="421"/>
      <c r="GW226" s="413"/>
      <c r="GX226" s="414"/>
      <c r="GY226" s="414"/>
      <c r="GZ226" s="414"/>
      <c r="HA226" s="411"/>
      <c r="HB226" s="411"/>
      <c r="HC226" s="411"/>
      <c r="HD226" s="421"/>
      <c r="HE226" s="413"/>
      <c r="HF226" s="414"/>
      <c r="HG226" s="414"/>
      <c r="HH226" s="414"/>
      <c r="HI226" s="411"/>
      <c r="HJ226" s="411"/>
      <c r="HK226" s="411"/>
      <c r="HL226" s="421"/>
      <c r="HM226" s="413"/>
      <c r="HN226" s="414"/>
      <c r="HO226" s="414"/>
      <c r="HP226" s="414"/>
      <c r="HQ226" s="411"/>
      <c r="HR226" s="411"/>
      <c r="HS226" s="411"/>
      <c r="HT226" s="421"/>
      <c r="HU226" s="413"/>
      <c r="HV226" s="414"/>
      <c r="HW226" s="414"/>
      <c r="HX226" s="414"/>
      <c r="HY226" s="411"/>
      <c r="HZ226" s="411"/>
      <c r="IA226" s="411"/>
      <c r="IB226" s="421"/>
      <c r="IC226" s="413"/>
      <c r="ID226" s="414"/>
      <c r="IE226" s="414"/>
      <c r="IF226" s="414"/>
      <c r="IG226" s="411"/>
      <c r="IH226" s="411"/>
      <c r="II226" s="411"/>
      <c r="IJ226" s="421"/>
      <c r="IK226" s="413"/>
      <c r="IL226" s="414"/>
      <c r="IM226" s="414"/>
      <c r="IN226" s="414"/>
      <c r="IO226" s="411"/>
      <c r="IP226" s="411"/>
      <c r="IQ226" s="411"/>
      <c r="IR226" s="421"/>
      <c r="IS226" s="413"/>
      <c r="IT226" s="414"/>
      <c r="IU226" s="414"/>
      <c r="IV226" s="414"/>
    </row>
    <row r="227" spans="1:256" ht="9" customHeight="1">
      <c r="A227" s="593"/>
      <c r="B227" s="594"/>
      <c r="C227" s="407"/>
      <c r="D227" s="407"/>
      <c r="E227" s="407"/>
      <c r="F227" s="407"/>
      <c r="G227" s="407"/>
      <c r="H227" s="407"/>
      <c r="I227" s="467"/>
      <c r="J227" s="455"/>
      <c r="K227" s="455"/>
      <c r="L227" s="459"/>
      <c r="M227" s="457"/>
      <c r="N227" s="457"/>
      <c r="O227" s="457"/>
      <c r="P227" s="457"/>
      <c r="Q227" s="417"/>
      <c r="R227" s="411"/>
      <c r="S227" s="411"/>
      <c r="T227" s="421"/>
      <c r="U227" s="413"/>
      <c r="V227" s="414"/>
      <c r="W227" s="414"/>
      <c r="X227" s="414"/>
      <c r="Y227" s="411"/>
      <c r="Z227" s="411"/>
      <c r="AA227" s="411"/>
      <c r="AB227" s="421"/>
      <c r="AC227" s="413"/>
      <c r="AD227" s="414"/>
      <c r="AE227" s="414"/>
      <c r="AF227" s="414"/>
      <c r="AG227" s="411"/>
      <c r="AH227" s="411"/>
      <c r="AI227" s="411"/>
      <c r="AJ227" s="421"/>
      <c r="AK227" s="413"/>
      <c r="AL227" s="414"/>
      <c r="AM227" s="414"/>
      <c r="AN227" s="414"/>
      <c r="AO227" s="411"/>
      <c r="AP227" s="411"/>
      <c r="AQ227" s="411"/>
      <c r="AR227" s="421"/>
      <c r="AS227" s="413"/>
      <c r="AT227" s="414"/>
      <c r="AU227" s="414"/>
      <c r="AV227" s="414"/>
      <c r="AW227" s="411"/>
      <c r="AX227" s="411"/>
      <c r="AY227" s="411"/>
      <c r="AZ227" s="421"/>
      <c r="BA227" s="413"/>
      <c r="BB227" s="414"/>
      <c r="BC227" s="414"/>
      <c r="BD227" s="414"/>
      <c r="BE227" s="411"/>
      <c r="BF227" s="411"/>
      <c r="BG227" s="411"/>
      <c r="BH227" s="421"/>
      <c r="BI227" s="413"/>
      <c r="BJ227" s="414"/>
      <c r="BK227" s="414"/>
      <c r="BL227" s="414"/>
      <c r="BM227" s="411"/>
      <c r="BN227" s="411"/>
      <c r="BO227" s="411"/>
      <c r="BP227" s="421"/>
      <c r="BQ227" s="413"/>
      <c r="BR227" s="414"/>
      <c r="BS227" s="414"/>
      <c r="BT227" s="414"/>
      <c r="BU227" s="411"/>
      <c r="BV227" s="411"/>
      <c r="BW227" s="411"/>
      <c r="BX227" s="421"/>
      <c r="BY227" s="413"/>
      <c r="BZ227" s="414"/>
      <c r="CA227" s="414"/>
      <c r="CB227" s="414"/>
      <c r="CC227" s="411"/>
      <c r="CD227" s="411"/>
      <c r="CE227" s="411"/>
      <c r="CF227" s="421"/>
      <c r="CG227" s="413"/>
      <c r="CH227" s="414"/>
      <c r="CI227" s="414"/>
      <c r="CJ227" s="414"/>
      <c r="CK227" s="411"/>
      <c r="CL227" s="411"/>
      <c r="CM227" s="411"/>
      <c r="CN227" s="421"/>
      <c r="CO227" s="413"/>
      <c r="CP227" s="414"/>
      <c r="CQ227" s="414"/>
      <c r="CR227" s="414"/>
      <c r="CS227" s="411"/>
      <c r="CT227" s="411"/>
      <c r="CU227" s="411"/>
      <c r="CV227" s="421"/>
      <c r="CW227" s="413"/>
      <c r="CX227" s="414"/>
      <c r="CY227" s="414"/>
      <c r="CZ227" s="414"/>
      <c r="DA227" s="411"/>
      <c r="DB227" s="411"/>
      <c r="DC227" s="411"/>
      <c r="DD227" s="421"/>
      <c r="DE227" s="413"/>
      <c r="DF227" s="414"/>
      <c r="DG227" s="414"/>
      <c r="DH227" s="414"/>
      <c r="DI227" s="411"/>
      <c r="DJ227" s="411"/>
      <c r="DK227" s="411"/>
      <c r="DL227" s="421"/>
      <c r="DM227" s="413"/>
      <c r="DN227" s="414"/>
      <c r="DO227" s="414"/>
      <c r="DP227" s="414"/>
      <c r="DQ227" s="411"/>
      <c r="DR227" s="411"/>
      <c r="DS227" s="411"/>
      <c r="DT227" s="421"/>
      <c r="DU227" s="413"/>
      <c r="DV227" s="414"/>
      <c r="DW227" s="414"/>
      <c r="DX227" s="414"/>
      <c r="DY227" s="411"/>
      <c r="DZ227" s="411"/>
      <c r="EA227" s="411"/>
      <c r="EB227" s="421"/>
      <c r="EC227" s="413"/>
      <c r="ED227" s="414"/>
      <c r="EE227" s="414"/>
      <c r="EF227" s="414"/>
      <c r="EG227" s="411"/>
      <c r="EH227" s="411"/>
      <c r="EI227" s="411"/>
      <c r="EJ227" s="421"/>
      <c r="EK227" s="413"/>
      <c r="EL227" s="414"/>
      <c r="EM227" s="414"/>
      <c r="EN227" s="414"/>
      <c r="EO227" s="411"/>
      <c r="EP227" s="411"/>
      <c r="EQ227" s="411"/>
      <c r="ER227" s="421"/>
      <c r="ES227" s="413"/>
      <c r="ET227" s="414"/>
      <c r="EU227" s="414"/>
      <c r="EV227" s="414"/>
      <c r="EW227" s="411"/>
      <c r="EX227" s="411"/>
      <c r="EY227" s="411"/>
      <c r="EZ227" s="421"/>
      <c r="FA227" s="413"/>
      <c r="FB227" s="414"/>
      <c r="FC227" s="414"/>
      <c r="FD227" s="414"/>
      <c r="FE227" s="411"/>
      <c r="FF227" s="411"/>
      <c r="FG227" s="411"/>
      <c r="FH227" s="421"/>
      <c r="FI227" s="413"/>
      <c r="FJ227" s="414"/>
      <c r="FK227" s="414"/>
      <c r="FL227" s="414"/>
      <c r="FM227" s="411"/>
      <c r="FN227" s="411"/>
      <c r="FO227" s="411"/>
      <c r="FP227" s="421"/>
      <c r="FQ227" s="413"/>
      <c r="FR227" s="414"/>
      <c r="FS227" s="414"/>
      <c r="FT227" s="414"/>
      <c r="FU227" s="411"/>
      <c r="FV227" s="411"/>
      <c r="FW227" s="411"/>
      <c r="FX227" s="421"/>
      <c r="FY227" s="413"/>
      <c r="FZ227" s="414"/>
      <c r="GA227" s="414"/>
      <c r="GB227" s="414"/>
      <c r="GC227" s="411"/>
      <c r="GD227" s="411"/>
      <c r="GE227" s="411"/>
      <c r="GF227" s="421"/>
      <c r="GG227" s="413"/>
      <c r="GH227" s="414"/>
      <c r="GI227" s="414"/>
      <c r="GJ227" s="414"/>
      <c r="GK227" s="411"/>
      <c r="GL227" s="411"/>
      <c r="GM227" s="411"/>
      <c r="GN227" s="421"/>
      <c r="GO227" s="413"/>
      <c r="GP227" s="414"/>
      <c r="GQ227" s="414"/>
      <c r="GR227" s="414"/>
      <c r="GS227" s="411"/>
      <c r="GT227" s="411"/>
      <c r="GU227" s="411"/>
      <c r="GV227" s="421"/>
      <c r="GW227" s="413"/>
      <c r="GX227" s="414"/>
      <c r="GY227" s="414"/>
      <c r="GZ227" s="414"/>
      <c r="HA227" s="411"/>
      <c r="HB227" s="411"/>
      <c r="HC227" s="411"/>
      <c r="HD227" s="421"/>
      <c r="HE227" s="413"/>
      <c r="HF227" s="414"/>
      <c r="HG227" s="414"/>
      <c r="HH227" s="414"/>
      <c r="HI227" s="411"/>
      <c r="HJ227" s="411"/>
      <c r="HK227" s="411"/>
      <c r="HL227" s="421"/>
      <c r="HM227" s="413"/>
      <c r="HN227" s="414"/>
      <c r="HO227" s="414"/>
      <c r="HP227" s="414"/>
      <c r="HQ227" s="411"/>
      <c r="HR227" s="411"/>
      <c r="HS227" s="411"/>
      <c r="HT227" s="421"/>
      <c r="HU227" s="413"/>
      <c r="HV227" s="414"/>
      <c r="HW227" s="414"/>
      <c r="HX227" s="414"/>
      <c r="HY227" s="411"/>
      <c r="HZ227" s="411"/>
      <c r="IA227" s="411"/>
      <c r="IB227" s="421"/>
      <c r="IC227" s="413"/>
      <c r="ID227" s="414"/>
      <c r="IE227" s="414"/>
      <c r="IF227" s="414"/>
      <c r="IG227" s="411"/>
      <c r="IH227" s="411"/>
      <c r="II227" s="411"/>
      <c r="IJ227" s="421"/>
      <c r="IK227" s="413"/>
      <c r="IL227" s="414"/>
      <c r="IM227" s="414"/>
      <c r="IN227" s="414"/>
      <c r="IO227" s="411"/>
      <c r="IP227" s="411"/>
      <c r="IQ227" s="411"/>
      <c r="IR227" s="421"/>
      <c r="IS227" s="413"/>
      <c r="IT227" s="414"/>
      <c r="IU227" s="414"/>
      <c r="IV227" s="414"/>
    </row>
    <row r="228" spans="1:256" ht="44.25" customHeight="1">
      <c r="A228" s="434" t="s">
        <v>392</v>
      </c>
      <c r="B228" s="434"/>
      <c r="C228" s="434"/>
      <c r="D228" s="434"/>
      <c r="E228" s="434"/>
      <c r="F228" s="434"/>
      <c r="G228" s="434"/>
      <c r="H228" s="434"/>
      <c r="I228" s="435"/>
    </row>
    <row r="229" spans="1:256" ht="44.25" customHeight="1">
      <c r="A229" s="579" t="s">
        <v>257</v>
      </c>
      <c r="B229" s="580"/>
      <c r="C229" s="400" t="s">
        <v>151</v>
      </c>
      <c r="D229" s="400"/>
      <c r="E229" s="400" t="s">
        <v>152</v>
      </c>
      <c r="F229" s="400"/>
      <c r="G229" s="338" t="s">
        <v>150</v>
      </c>
      <c r="H229" s="339"/>
      <c r="I229" s="340"/>
    </row>
    <row r="230" spans="1:256" ht="39.75" customHeight="1">
      <c r="A230" s="360" t="s">
        <v>249</v>
      </c>
      <c r="B230" s="361"/>
      <c r="C230" s="377" t="s">
        <v>194</v>
      </c>
      <c r="D230" s="377"/>
      <c r="E230" s="341">
        <v>0</v>
      </c>
      <c r="F230" s="341"/>
      <c r="G230" s="335">
        <f>ROUND((1/1200)*E230,2)</f>
        <v>0</v>
      </c>
      <c r="H230" s="336"/>
      <c r="I230" s="337"/>
    </row>
    <row r="231" spans="1:256" ht="42" customHeight="1">
      <c r="A231" s="360" t="s">
        <v>236</v>
      </c>
      <c r="B231" s="361"/>
      <c r="C231" s="377" t="s">
        <v>191</v>
      </c>
      <c r="D231" s="377"/>
      <c r="E231" s="341">
        <f>I180</f>
        <v>2721.2</v>
      </c>
      <c r="F231" s="341"/>
      <c r="G231" s="341">
        <f>ROUND((1/1200)*E231,2)</f>
        <v>2.27</v>
      </c>
      <c r="H231" s="341"/>
      <c r="I231" s="397"/>
      <c r="J231" s="17"/>
    </row>
    <row r="232" spans="1:256" ht="16.5" customHeight="1">
      <c r="A232" s="370" t="s">
        <v>134</v>
      </c>
      <c r="B232" s="371"/>
      <c r="C232" s="372"/>
      <c r="D232" s="372"/>
      <c r="E232" s="372"/>
      <c r="F232" s="373"/>
      <c r="G232" s="357">
        <f>SUM(G230+G231)</f>
        <v>2.27</v>
      </c>
      <c r="H232" s="358"/>
      <c r="I232" s="340"/>
      <c r="J232" s="17"/>
    </row>
    <row r="233" spans="1:256" ht="8.25" customHeight="1">
      <c r="A233" s="378"/>
      <c r="B233" s="379"/>
      <c r="C233" s="380"/>
      <c r="D233" s="380"/>
      <c r="E233" s="380"/>
      <c r="F233" s="380"/>
      <c r="G233" s="380"/>
      <c r="H233" s="380"/>
      <c r="I233" s="337"/>
    </row>
    <row r="234" spans="1:256" ht="27.75" customHeight="1">
      <c r="A234" s="436" t="s">
        <v>250</v>
      </c>
      <c r="B234" s="437"/>
      <c r="C234" s="369" t="s">
        <v>195</v>
      </c>
      <c r="D234" s="369"/>
      <c r="E234" s="344">
        <v>0</v>
      </c>
      <c r="F234" s="344"/>
      <c r="G234" s="335">
        <f>ROUND((1/1200)*E234,2)</f>
        <v>0</v>
      </c>
      <c r="H234" s="336"/>
      <c r="I234" s="337"/>
    </row>
    <row r="235" spans="1:256" ht="27" customHeight="1">
      <c r="A235" s="360" t="s">
        <v>237</v>
      </c>
      <c r="B235" s="361"/>
      <c r="C235" s="381" t="s">
        <v>196</v>
      </c>
      <c r="D235" s="382"/>
      <c r="E235" s="341">
        <f>I180</f>
        <v>2721.2</v>
      </c>
      <c r="F235" s="341"/>
      <c r="G235" s="335">
        <f>ROUND((1/6000)*E235,2)</f>
        <v>0.45</v>
      </c>
      <c r="H235" s="336"/>
      <c r="I235" s="337"/>
    </row>
    <row r="236" spans="1:256" ht="16.5" customHeight="1">
      <c r="A236" s="370" t="s">
        <v>134</v>
      </c>
      <c r="B236" s="371"/>
      <c r="C236" s="372"/>
      <c r="D236" s="372"/>
      <c r="E236" s="372"/>
      <c r="F236" s="373"/>
      <c r="G236" s="357">
        <f>SUM(G234+G235)</f>
        <v>0.45</v>
      </c>
      <c r="H236" s="358"/>
      <c r="I236" s="340"/>
    </row>
    <row r="237" spans="1:256" ht="7.5" customHeight="1">
      <c r="A237" s="374"/>
      <c r="B237" s="375"/>
      <c r="C237" s="376"/>
      <c r="D237" s="376"/>
      <c r="E237" s="376"/>
      <c r="F237" s="376"/>
      <c r="G237" s="376"/>
      <c r="H237" s="376"/>
      <c r="I237" s="337"/>
    </row>
    <row r="238" spans="1:256" ht="34.5" customHeight="1">
      <c r="A238" s="404" t="s">
        <v>251</v>
      </c>
      <c r="B238" s="404"/>
      <c r="C238" s="369" t="s">
        <v>194</v>
      </c>
      <c r="D238" s="369"/>
      <c r="E238" s="344">
        <v>0</v>
      </c>
      <c r="F238" s="344"/>
      <c r="G238" s="341">
        <f>ROUND((1/1200)*E238,2)</f>
        <v>0</v>
      </c>
      <c r="H238" s="341"/>
      <c r="I238" s="397"/>
    </row>
    <row r="239" spans="1:256" ht="30" customHeight="1">
      <c r="A239" s="428" t="s">
        <v>238</v>
      </c>
      <c r="B239" s="428"/>
      <c r="C239" s="377" t="s">
        <v>191</v>
      </c>
      <c r="D239" s="377"/>
      <c r="E239" s="341">
        <f>I180</f>
        <v>2721.2</v>
      </c>
      <c r="F239" s="341"/>
      <c r="G239" s="335">
        <f>ROUND((1/1200)*E239,2)</f>
        <v>2.27</v>
      </c>
      <c r="H239" s="336"/>
      <c r="I239" s="337"/>
    </row>
    <row r="240" spans="1:256" ht="15.75" customHeight="1">
      <c r="A240" s="370" t="s">
        <v>134</v>
      </c>
      <c r="B240" s="371"/>
      <c r="C240" s="372"/>
      <c r="D240" s="372"/>
      <c r="E240" s="372"/>
      <c r="F240" s="373"/>
      <c r="G240" s="357">
        <f>SUM(G238+G239)</f>
        <v>2.27</v>
      </c>
      <c r="H240" s="358"/>
      <c r="I240" s="340"/>
    </row>
    <row r="241" spans="1:9" ht="6.75" customHeight="1">
      <c r="A241" s="374"/>
      <c r="B241" s="375"/>
      <c r="C241" s="376"/>
      <c r="D241" s="376"/>
      <c r="E241" s="376"/>
      <c r="F241" s="376"/>
      <c r="G241" s="376"/>
      <c r="H241" s="376"/>
      <c r="I241" s="337"/>
    </row>
    <row r="242" spans="1:9" ht="36" customHeight="1">
      <c r="A242" s="404" t="s">
        <v>213</v>
      </c>
      <c r="B242" s="404"/>
      <c r="C242" s="369" t="s">
        <v>194</v>
      </c>
      <c r="D242" s="369"/>
      <c r="E242" s="344">
        <v>0</v>
      </c>
      <c r="F242" s="344"/>
      <c r="G242" s="335">
        <f>ROUND((1/1200)*E242,2)</f>
        <v>0</v>
      </c>
      <c r="H242" s="336"/>
      <c r="I242" s="337"/>
    </row>
    <row r="243" spans="1:9" ht="36" customHeight="1">
      <c r="A243" s="428" t="s">
        <v>239</v>
      </c>
      <c r="B243" s="428"/>
      <c r="C243" s="377" t="s">
        <v>191</v>
      </c>
      <c r="D243" s="377"/>
      <c r="E243" s="341">
        <f>I180</f>
        <v>2721.2</v>
      </c>
      <c r="F243" s="341"/>
      <c r="G243" s="335">
        <f>ROUND((1/1200)*E243,2)</f>
        <v>2.27</v>
      </c>
      <c r="H243" s="336"/>
      <c r="I243" s="337"/>
    </row>
    <row r="244" spans="1:9" ht="13.5" customHeight="1">
      <c r="A244" s="370" t="s">
        <v>134</v>
      </c>
      <c r="B244" s="371"/>
      <c r="C244" s="372"/>
      <c r="D244" s="372"/>
      <c r="E244" s="372"/>
      <c r="F244" s="373"/>
      <c r="G244" s="357">
        <f>SUM(G242+G243)</f>
        <v>2.27</v>
      </c>
      <c r="H244" s="358"/>
      <c r="I244" s="340"/>
    </row>
    <row r="245" spans="1:9" ht="6.75" customHeight="1">
      <c r="A245" s="448"/>
      <c r="B245" s="449"/>
      <c r="C245" s="376"/>
      <c r="D245" s="376"/>
      <c r="E245" s="376"/>
      <c r="F245" s="376"/>
      <c r="G245" s="376"/>
      <c r="H245" s="376"/>
      <c r="I245" s="337"/>
    </row>
    <row r="246" spans="1:9" ht="30.75" customHeight="1">
      <c r="A246" s="404" t="s">
        <v>252</v>
      </c>
      <c r="B246" s="404"/>
      <c r="C246" s="369" t="s">
        <v>194</v>
      </c>
      <c r="D246" s="369"/>
      <c r="E246" s="344">
        <v>0</v>
      </c>
      <c r="F246" s="344"/>
      <c r="G246" s="335">
        <f>ROUND((1/1200)*E246,2)</f>
        <v>0</v>
      </c>
      <c r="H246" s="336"/>
      <c r="I246" s="337"/>
    </row>
    <row r="247" spans="1:9" ht="28.5" customHeight="1">
      <c r="A247" s="429" t="s">
        <v>240</v>
      </c>
      <c r="B247" s="429"/>
      <c r="C247" s="377" t="s">
        <v>191</v>
      </c>
      <c r="D247" s="377"/>
      <c r="E247" s="430">
        <f>I180</f>
        <v>2721.2</v>
      </c>
      <c r="F247" s="430"/>
      <c r="G247" s="335">
        <f>ROUND((1/1200)*E247,2)</f>
        <v>2.27</v>
      </c>
      <c r="H247" s="336"/>
      <c r="I247" s="337"/>
    </row>
    <row r="248" spans="1:9" ht="18" customHeight="1">
      <c r="A248" s="385" t="s">
        <v>134</v>
      </c>
      <c r="B248" s="386"/>
      <c r="C248" s="387"/>
      <c r="D248" s="387"/>
      <c r="E248" s="387"/>
      <c r="F248" s="396"/>
      <c r="G248" s="401">
        <f>SUM(G246+G247)</f>
        <v>2.27</v>
      </c>
      <c r="H248" s="402"/>
      <c r="I248" s="403"/>
    </row>
    <row r="249" spans="1:9" ht="12.75">
      <c r="A249" s="374"/>
      <c r="B249" s="375"/>
      <c r="C249" s="376"/>
      <c r="D249" s="376"/>
      <c r="E249" s="376"/>
      <c r="F249" s="376"/>
      <c r="G249" s="376"/>
      <c r="H249" s="376"/>
      <c r="I249" s="337"/>
    </row>
    <row r="250" spans="1:9" ht="39.75" customHeight="1">
      <c r="A250" s="404" t="s">
        <v>253</v>
      </c>
      <c r="B250" s="404"/>
      <c r="C250" s="369" t="s">
        <v>197</v>
      </c>
      <c r="D250" s="369"/>
      <c r="E250" s="344">
        <v>0</v>
      </c>
      <c r="F250" s="344"/>
      <c r="G250" s="335">
        <f>ROUND((1/1200)*E250,2)</f>
        <v>0</v>
      </c>
      <c r="H250" s="336"/>
      <c r="I250" s="337"/>
    </row>
    <row r="251" spans="1:9" ht="36.75" customHeight="1">
      <c r="A251" s="428" t="s">
        <v>241</v>
      </c>
      <c r="B251" s="428"/>
      <c r="C251" s="377" t="s">
        <v>198</v>
      </c>
      <c r="D251" s="377"/>
      <c r="E251" s="341">
        <f>I180</f>
        <v>2721.2</v>
      </c>
      <c r="F251" s="341"/>
      <c r="G251" s="335">
        <f>ROUND((1/100000)*E251,2)</f>
        <v>0.03</v>
      </c>
      <c r="H251" s="336"/>
      <c r="I251" s="337"/>
    </row>
    <row r="252" spans="1:9" ht="15.75" customHeight="1">
      <c r="A252" s="370" t="s">
        <v>134</v>
      </c>
      <c r="B252" s="371"/>
      <c r="C252" s="372"/>
      <c r="D252" s="372"/>
      <c r="E252" s="372"/>
      <c r="F252" s="373"/>
      <c r="G252" s="357">
        <f>SUM(G250+G251)</f>
        <v>0.03</v>
      </c>
      <c r="H252" s="358"/>
      <c r="I252" s="340"/>
    </row>
    <row r="253" spans="1:9" ht="12.75">
      <c r="A253" s="374"/>
      <c r="B253" s="375"/>
      <c r="C253" s="376"/>
      <c r="D253" s="376"/>
      <c r="E253" s="376"/>
      <c r="F253" s="376"/>
      <c r="G253" s="376"/>
      <c r="H253" s="376"/>
      <c r="I253" s="337"/>
    </row>
    <row r="254" spans="1:9" ht="12" customHeight="1">
      <c r="A254" s="422" t="s">
        <v>398</v>
      </c>
      <c r="B254" s="423"/>
      <c r="C254" s="423"/>
      <c r="D254" s="423"/>
      <c r="E254" s="423"/>
      <c r="F254" s="423"/>
      <c r="G254" s="423"/>
      <c r="H254" s="423"/>
      <c r="I254" s="424"/>
    </row>
    <row r="255" spans="1:9" ht="36.75" customHeight="1">
      <c r="A255" s="425"/>
      <c r="B255" s="426"/>
      <c r="C255" s="426"/>
      <c r="D255" s="426"/>
      <c r="E255" s="426"/>
      <c r="F255" s="426"/>
      <c r="G255" s="426"/>
      <c r="H255" s="426"/>
      <c r="I255" s="427"/>
    </row>
    <row r="256" spans="1:9" ht="69" customHeight="1">
      <c r="A256" s="36" t="s">
        <v>199</v>
      </c>
      <c r="B256" s="35" t="s">
        <v>200</v>
      </c>
      <c r="C256" s="35" t="s">
        <v>135</v>
      </c>
      <c r="D256" s="400" t="s">
        <v>147</v>
      </c>
      <c r="E256" s="400"/>
      <c r="F256" s="35" t="s">
        <v>399</v>
      </c>
      <c r="G256" s="35" t="s">
        <v>201</v>
      </c>
      <c r="H256" s="338" t="s">
        <v>332</v>
      </c>
      <c r="I256" s="399"/>
    </row>
    <row r="257" spans="1:9" ht="63" customHeight="1">
      <c r="A257" s="79" t="s">
        <v>254</v>
      </c>
      <c r="B257" s="27" t="s">
        <v>202</v>
      </c>
      <c r="C257" s="28" t="s">
        <v>309</v>
      </c>
      <c r="D257" s="405" t="s">
        <v>153</v>
      </c>
      <c r="E257" s="405"/>
      <c r="F257" s="29">
        <f>ROUND((1/(30*110))*16*(1/191.4),7)</f>
        <v>2.5299999999999998E-5</v>
      </c>
      <c r="G257" s="34">
        <v>0</v>
      </c>
      <c r="H257" s="335">
        <v>0</v>
      </c>
      <c r="I257" s="398"/>
    </row>
    <row r="258" spans="1:9" ht="51">
      <c r="A258" s="79" t="s">
        <v>242</v>
      </c>
      <c r="B258" s="27" t="s">
        <v>203</v>
      </c>
      <c r="C258" s="28" t="s">
        <v>309</v>
      </c>
      <c r="D258" s="405" t="s">
        <v>153</v>
      </c>
      <c r="E258" s="405"/>
      <c r="F258" s="29">
        <f>ROUND((1/110)*16*(1/191.4),7)</f>
        <v>7.6000000000000004E-4</v>
      </c>
      <c r="G258" s="34">
        <f>I180</f>
        <v>2721.2</v>
      </c>
      <c r="H258" s="335">
        <f>ROUND(F258*G258,2)</f>
        <v>2.0699999999999998</v>
      </c>
      <c r="I258" s="398"/>
    </row>
    <row r="259" spans="1:9" ht="12.75">
      <c r="A259" s="370" t="s">
        <v>134</v>
      </c>
      <c r="B259" s="371"/>
      <c r="C259" s="372"/>
      <c r="D259" s="372"/>
      <c r="E259" s="372"/>
      <c r="F259" s="372"/>
      <c r="G259" s="337"/>
      <c r="H259" s="335">
        <f>SUM(H257+H258)</f>
        <v>2.0699999999999998</v>
      </c>
      <c r="I259" s="398"/>
    </row>
    <row r="260" spans="1:9" ht="7.5" customHeight="1">
      <c r="A260" s="406"/>
      <c r="B260" s="407"/>
      <c r="C260" s="407"/>
      <c r="D260" s="407"/>
      <c r="E260" s="407"/>
      <c r="F260" s="407"/>
      <c r="G260" s="407"/>
      <c r="H260" s="407"/>
      <c r="I260" s="408"/>
    </row>
    <row r="261" spans="1:9" ht="51">
      <c r="A261" s="79" t="s">
        <v>255</v>
      </c>
      <c r="B261" s="74" t="s">
        <v>310</v>
      </c>
      <c r="C261" s="28" t="s">
        <v>309</v>
      </c>
      <c r="D261" s="405" t="s">
        <v>153</v>
      </c>
      <c r="E261" s="405"/>
      <c r="F261" s="29">
        <f>ROUND((1/(30*220))*16*(1/191.4),7)</f>
        <v>1.27E-5</v>
      </c>
      <c r="G261" s="34">
        <v>0</v>
      </c>
      <c r="H261" s="335">
        <v>0</v>
      </c>
      <c r="I261" s="398"/>
    </row>
    <row r="262" spans="1:9" ht="51">
      <c r="A262" s="79" t="s">
        <v>243</v>
      </c>
      <c r="B262" s="27" t="s">
        <v>205</v>
      </c>
      <c r="C262" s="28" t="s">
        <v>309</v>
      </c>
      <c r="D262" s="405" t="s">
        <v>153</v>
      </c>
      <c r="E262" s="405"/>
      <c r="F262" s="29">
        <f>ROUND((1/220)*16*(1/191.4),7)</f>
        <v>3.8000000000000002E-4</v>
      </c>
      <c r="G262" s="34">
        <f>I180</f>
        <v>2721.2</v>
      </c>
      <c r="H262" s="335">
        <f>ROUND(F262*G262,2)</f>
        <v>1.03</v>
      </c>
      <c r="I262" s="398"/>
    </row>
    <row r="263" spans="1:9" ht="12.75">
      <c r="A263" s="370" t="s">
        <v>134</v>
      </c>
      <c r="B263" s="371"/>
      <c r="C263" s="372"/>
      <c r="D263" s="372"/>
      <c r="E263" s="372"/>
      <c r="F263" s="372"/>
      <c r="G263" s="337"/>
      <c r="H263" s="335">
        <f>SUM(H261+H262)</f>
        <v>1.03</v>
      </c>
      <c r="I263" s="398"/>
    </row>
    <row r="264" spans="1:9" ht="6.75" customHeight="1">
      <c r="A264" s="406"/>
      <c r="B264" s="407"/>
      <c r="C264" s="407"/>
      <c r="D264" s="407"/>
      <c r="E264" s="407"/>
      <c r="F264" s="407"/>
      <c r="G264" s="407"/>
      <c r="H264" s="407"/>
      <c r="I264" s="408"/>
    </row>
    <row r="265" spans="1:9" ht="24" customHeight="1">
      <c r="A265" s="79" t="s">
        <v>256</v>
      </c>
      <c r="B265" s="27" t="s">
        <v>204</v>
      </c>
      <c r="C265" s="28" t="s">
        <v>309</v>
      </c>
      <c r="D265" s="405" t="s">
        <v>153</v>
      </c>
      <c r="E265" s="405"/>
      <c r="F265" s="29">
        <f>ROUND((1/(30*220))*16*(1/191.4),7)</f>
        <v>1.27E-5</v>
      </c>
      <c r="G265" s="34">
        <v>0</v>
      </c>
      <c r="H265" s="335">
        <v>0</v>
      </c>
      <c r="I265" s="398"/>
    </row>
    <row r="266" spans="1:9" ht="25.5">
      <c r="A266" s="79" t="s">
        <v>244</v>
      </c>
      <c r="B266" s="20" t="s">
        <v>205</v>
      </c>
      <c r="C266" s="21" t="s">
        <v>309</v>
      </c>
      <c r="D266" s="405" t="s">
        <v>153</v>
      </c>
      <c r="E266" s="405"/>
      <c r="F266" s="29">
        <f>ROUND((1/220)*16*(1/191.4),7)</f>
        <v>3.8000000000000002E-4</v>
      </c>
      <c r="G266" s="34">
        <f>I180</f>
        <v>2721.2</v>
      </c>
      <c r="H266" s="335">
        <f>ROUND(F266*G266,2)</f>
        <v>1.03</v>
      </c>
      <c r="I266" s="398"/>
    </row>
    <row r="267" spans="1:9" ht="12.75">
      <c r="A267" s="385" t="s">
        <v>134</v>
      </c>
      <c r="B267" s="386"/>
      <c r="C267" s="387"/>
      <c r="D267" s="387"/>
      <c r="E267" s="387"/>
      <c r="F267" s="387"/>
      <c r="G267" s="388"/>
      <c r="H267" s="409">
        <f>SUM(H265+H266)</f>
        <v>1.03</v>
      </c>
      <c r="I267" s="398"/>
    </row>
    <row r="268" spans="1:9" ht="12.75">
      <c r="A268" s="581"/>
      <c r="B268" s="407"/>
      <c r="C268" s="407"/>
      <c r="D268" s="407"/>
      <c r="E268" s="407"/>
      <c r="F268" s="407"/>
      <c r="G268" s="407"/>
      <c r="H268" s="407"/>
      <c r="I268" s="408"/>
    </row>
    <row r="269" spans="1:9" ht="25.5" customHeight="1">
      <c r="A269" s="383" t="s">
        <v>222</v>
      </c>
      <c r="B269" s="384"/>
      <c r="C269" s="384"/>
      <c r="D269" s="384"/>
      <c r="E269" s="384"/>
      <c r="F269" s="384"/>
      <c r="G269" s="384"/>
      <c r="H269" s="384"/>
      <c r="I269" s="384"/>
    </row>
    <row r="270" spans="1:9" ht="63.75">
      <c r="A270" s="37" t="s">
        <v>163</v>
      </c>
      <c r="B270" s="37" t="s">
        <v>217</v>
      </c>
      <c r="C270" s="37" t="s">
        <v>218</v>
      </c>
      <c r="D270" s="582" t="s">
        <v>219</v>
      </c>
      <c r="E270" s="582"/>
      <c r="F270" s="37" t="s">
        <v>400</v>
      </c>
      <c r="G270" s="37" t="s">
        <v>220</v>
      </c>
      <c r="H270" s="603" t="s">
        <v>221</v>
      </c>
      <c r="I270" s="399"/>
    </row>
    <row r="271" spans="1:9" ht="12.75">
      <c r="A271" s="31" t="s">
        <v>155</v>
      </c>
      <c r="B271" s="20" t="s">
        <v>313</v>
      </c>
      <c r="C271" s="21" t="s">
        <v>312</v>
      </c>
      <c r="D271" s="587" t="s">
        <v>316</v>
      </c>
      <c r="E271" s="587"/>
      <c r="F271" s="32">
        <f>ROUND((1/(4*110))*8*(1/1148.4),7)</f>
        <v>1.5800000000000001E-5</v>
      </c>
      <c r="G271" s="33">
        <v>0</v>
      </c>
      <c r="H271" s="389">
        <f>ROUND(F271*G271,2)</f>
        <v>0</v>
      </c>
      <c r="I271" s="390"/>
    </row>
    <row r="272" spans="1:9" ht="12.75">
      <c r="A272" s="31" t="s">
        <v>154</v>
      </c>
      <c r="B272" s="20" t="s">
        <v>203</v>
      </c>
      <c r="C272" s="21" t="s">
        <v>312</v>
      </c>
      <c r="D272" s="601" t="s">
        <v>316</v>
      </c>
      <c r="E272" s="602"/>
      <c r="F272" s="32">
        <f>ROUND((1/110)*8*(1/1148.4),7)</f>
        <v>6.3299999999999994E-5</v>
      </c>
      <c r="G272" s="33">
        <f>I180</f>
        <v>2721.2</v>
      </c>
      <c r="H272" s="389">
        <f>ROUND(F272*G272,2)</f>
        <v>0.17</v>
      </c>
      <c r="I272" s="390"/>
    </row>
    <row r="273" spans="1:9" ht="12.75">
      <c r="A273" s="492" t="s">
        <v>134</v>
      </c>
      <c r="B273" s="492"/>
      <c r="C273" s="604"/>
      <c r="D273" s="604"/>
      <c r="E273" s="604"/>
      <c r="F273" s="604"/>
      <c r="G273" s="649"/>
      <c r="H273" s="409">
        <f>SUM(H271+H272)</f>
        <v>0.17</v>
      </c>
      <c r="I273" s="398"/>
    </row>
    <row r="274" spans="1:9" ht="9" customHeight="1">
      <c r="A274" s="406"/>
      <c r="B274" s="407"/>
      <c r="C274" s="407"/>
      <c r="D274" s="407"/>
      <c r="E274" s="407"/>
      <c r="F274" s="407"/>
      <c r="G274" s="407"/>
      <c r="H274" s="407"/>
      <c r="I274" s="467"/>
    </row>
    <row r="275" spans="1:9" ht="12.75">
      <c r="A275" s="444" t="s">
        <v>206</v>
      </c>
      <c r="B275" s="444"/>
      <c r="C275" s="444"/>
      <c r="D275" s="444"/>
      <c r="E275" s="444"/>
      <c r="F275" s="444"/>
      <c r="G275" s="444"/>
      <c r="H275" s="444"/>
      <c r="I275" s="39"/>
    </row>
    <row r="276" spans="1:9" ht="12.75">
      <c r="A276" s="445"/>
      <c r="B276" s="445"/>
      <c r="C276" s="445"/>
      <c r="D276" s="445"/>
      <c r="E276" s="445"/>
      <c r="F276" s="445"/>
      <c r="G276" s="446"/>
      <c r="H276" s="446"/>
      <c r="I276" s="40"/>
    </row>
    <row r="277" spans="1:9" ht="12.75">
      <c r="A277" s="338" t="s">
        <v>163</v>
      </c>
      <c r="B277" s="447"/>
      <c r="C277" s="400" t="s">
        <v>148</v>
      </c>
      <c r="D277" s="338"/>
      <c r="E277" s="400" t="s">
        <v>149</v>
      </c>
      <c r="F277" s="400"/>
      <c r="G277" s="338" t="s">
        <v>150</v>
      </c>
      <c r="H277" s="339"/>
      <c r="I277" s="340"/>
    </row>
    <row r="278" spans="1:9" ht="12.75">
      <c r="A278" s="597" t="s">
        <v>155</v>
      </c>
      <c r="B278" s="598"/>
      <c r="C278" s="599" t="s">
        <v>207</v>
      </c>
      <c r="D278" s="600"/>
      <c r="E278" s="551">
        <v>0</v>
      </c>
      <c r="F278" s="552"/>
      <c r="G278" s="335">
        <v>0</v>
      </c>
      <c r="H278" s="586"/>
      <c r="I278" s="467"/>
    </row>
    <row r="279" spans="1:9" ht="12.75">
      <c r="A279" s="597" t="s">
        <v>154</v>
      </c>
      <c r="B279" s="598"/>
      <c r="C279" s="585" t="s">
        <v>187</v>
      </c>
      <c r="D279" s="586"/>
      <c r="E279" s="551">
        <v>0</v>
      </c>
      <c r="F279" s="552"/>
      <c r="G279" s="844">
        <v>0</v>
      </c>
      <c r="H279" s="600"/>
      <c r="I279" s="845"/>
    </row>
    <row r="280" spans="1:9" ht="12.75">
      <c r="A280" s="492" t="s">
        <v>134</v>
      </c>
      <c r="B280" s="492"/>
      <c r="C280" s="604"/>
      <c r="D280" s="604"/>
      <c r="E280" s="604"/>
      <c r="F280" s="604"/>
      <c r="G280" s="553">
        <f>SUM(G278+G279)</f>
        <v>0</v>
      </c>
      <c r="H280" s="554"/>
      <c r="I280" s="555"/>
    </row>
    <row r="281" spans="1:9" ht="9.75" customHeight="1">
      <c r="A281" s="556"/>
      <c r="B281" s="407"/>
      <c r="C281" s="407"/>
      <c r="D281" s="407"/>
      <c r="E281" s="407"/>
      <c r="F281" s="407"/>
      <c r="G281" s="407"/>
      <c r="H281" s="407"/>
      <c r="I281" s="467"/>
    </row>
    <row r="282" spans="1:9" ht="97.5" customHeight="1" thickBot="1">
      <c r="A282" s="557" t="s">
        <v>426</v>
      </c>
      <c r="B282" s="557"/>
      <c r="C282" s="557"/>
      <c r="D282" s="557"/>
      <c r="E282" s="557"/>
      <c r="F282" s="557"/>
      <c r="G282" s="557"/>
      <c r="H282" s="557"/>
      <c r="I282" s="557"/>
    </row>
    <row r="283" spans="1:9">
      <c r="A283" s="562" t="s">
        <v>111</v>
      </c>
      <c r="B283" s="563"/>
      <c r="C283" s="563"/>
      <c r="D283" s="563"/>
      <c r="E283" s="563"/>
      <c r="F283" s="563"/>
      <c r="G283" s="563"/>
      <c r="H283" s="563"/>
      <c r="I283" s="564"/>
    </row>
    <row r="284" spans="1:9" ht="12.75" thickBot="1">
      <c r="A284" s="565"/>
      <c r="B284" s="566"/>
      <c r="C284" s="566"/>
      <c r="D284" s="566"/>
      <c r="E284" s="566"/>
      <c r="F284" s="566"/>
      <c r="G284" s="566"/>
      <c r="H284" s="566"/>
      <c r="I284" s="567"/>
    </row>
    <row r="285" spans="1:9" ht="25.5">
      <c r="A285" s="560" t="s">
        <v>136</v>
      </c>
      <c r="B285" s="560"/>
      <c r="C285" s="560"/>
      <c r="D285" s="840" t="s">
        <v>137</v>
      </c>
      <c r="E285" s="840"/>
      <c r="F285" s="81" t="s">
        <v>208</v>
      </c>
      <c r="G285" s="841" t="s">
        <v>209</v>
      </c>
      <c r="H285" s="842"/>
      <c r="I285" s="843"/>
    </row>
    <row r="286" spans="1:9" ht="14.1" customHeight="1">
      <c r="A286" s="438" t="s">
        <v>167</v>
      </c>
      <c r="B286" s="438"/>
      <c r="C286" s="438"/>
      <c r="D286" s="558">
        <f>G206</f>
        <v>4.54</v>
      </c>
      <c r="E286" s="559"/>
      <c r="F286" s="100">
        <f t="shared" ref="F286:F292" si="1">H14</f>
        <v>2000</v>
      </c>
      <c r="G286" s="487">
        <f t="shared" ref="G286:G291" si="2">ROUND(D286*F286,2)</f>
        <v>9080</v>
      </c>
      <c r="H286" s="487"/>
      <c r="I286" s="488"/>
    </row>
    <row r="287" spans="1:9" ht="14.1" customHeight="1">
      <c r="A287" s="438" t="s">
        <v>168</v>
      </c>
      <c r="B287" s="438"/>
      <c r="C287" s="438"/>
      <c r="D287" s="558">
        <f>G210</f>
        <v>4.54</v>
      </c>
      <c r="E287" s="559"/>
      <c r="F287" s="100">
        <f t="shared" si="1"/>
        <v>4000</v>
      </c>
      <c r="G287" s="487">
        <f t="shared" si="2"/>
        <v>18160</v>
      </c>
      <c r="H287" s="487"/>
      <c r="I287" s="488"/>
    </row>
    <row r="288" spans="1:9" ht="14.1" customHeight="1">
      <c r="A288" s="438" t="s">
        <v>169</v>
      </c>
      <c r="B288" s="438"/>
      <c r="C288" s="438"/>
      <c r="D288" s="558">
        <v>0</v>
      </c>
      <c r="E288" s="559"/>
      <c r="F288" s="100">
        <f t="shared" si="1"/>
        <v>0</v>
      </c>
      <c r="G288" s="487">
        <f t="shared" si="2"/>
        <v>0</v>
      </c>
      <c r="H288" s="487"/>
      <c r="I288" s="488"/>
    </row>
    <row r="289" spans="1:11" ht="14.1" customHeight="1">
      <c r="A289" s="568" t="s">
        <v>170</v>
      </c>
      <c r="B289" s="569"/>
      <c r="C289" s="570"/>
      <c r="D289" s="558">
        <f>G218</f>
        <v>2.02</v>
      </c>
      <c r="E289" s="559"/>
      <c r="F289" s="100">
        <f t="shared" si="1"/>
        <v>400</v>
      </c>
      <c r="G289" s="487">
        <f t="shared" si="2"/>
        <v>808</v>
      </c>
      <c r="H289" s="487"/>
      <c r="I289" s="488"/>
    </row>
    <row r="290" spans="1:11" ht="14.1" customHeight="1">
      <c r="A290" s="438" t="s">
        <v>171</v>
      </c>
      <c r="B290" s="438"/>
      <c r="C290" s="438"/>
      <c r="D290" s="558">
        <v>0</v>
      </c>
      <c r="E290" s="559"/>
      <c r="F290" s="100">
        <f t="shared" si="1"/>
        <v>0</v>
      </c>
      <c r="G290" s="487">
        <f t="shared" si="2"/>
        <v>0</v>
      </c>
      <c r="H290" s="487"/>
      <c r="I290" s="488"/>
    </row>
    <row r="291" spans="1:11" ht="27" customHeight="1">
      <c r="A291" s="809" t="s">
        <v>172</v>
      </c>
      <c r="B291" s="838"/>
      <c r="C291" s="839"/>
      <c r="D291" s="558">
        <f>G226</f>
        <v>3.4</v>
      </c>
      <c r="E291" s="559"/>
      <c r="F291" s="100">
        <f t="shared" si="1"/>
        <v>600</v>
      </c>
      <c r="G291" s="487">
        <f t="shared" si="2"/>
        <v>2040</v>
      </c>
      <c r="H291" s="487"/>
      <c r="I291" s="488"/>
    </row>
    <row r="292" spans="1:11" ht="16.5" customHeight="1">
      <c r="A292" s="782" t="s">
        <v>173</v>
      </c>
      <c r="B292" s="820"/>
      <c r="C292" s="820"/>
      <c r="D292" s="820"/>
      <c r="E292" s="821"/>
      <c r="F292" s="80">
        <f t="shared" si="1"/>
        <v>7000</v>
      </c>
      <c r="G292" s="394">
        <f>SUM(G286:G291)</f>
        <v>30088</v>
      </c>
      <c r="H292" s="395"/>
      <c r="I292" s="396"/>
    </row>
    <row r="293" spans="1:11" ht="6.75" customHeight="1">
      <c r="A293" s="571"/>
      <c r="B293" s="572"/>
      <c r="C293" s="572"/>
      <c r="D293" s="572"/>
      <c r="E293" s="572"/>
      <c r="F293" s="572"/>
      <c r="G293" s="572"/>
      <c r="H293" s="572"/>
      <c r="I293" s="573"/>
    </row>
    <row r="294" spans="1:11" ht="24" customHeight="1">
      <c r="A294" s="819" t="s">
        <v>174</v>
      </c>
      <c r="B294" s="819"/>
      <c r="C294" s="819"/>
      <c r="D294" s="780">
        <f>G231</f>
        <v>2.27</v>
      </c>
      <c r="E294" s="781"/>
      <c r="F294" s="101">
        <f t="shared" ref="F294:F299" si="3">H22</f>
        <v>500</v>
      </c>
      <c r="G294" s="391">
        <f t="shared" ref="G294:G299" si="4">ROUND(D294*F294,2)</f>
        <v>1135</v>
      </c>
      <c r="H294" s="392"/>
      <c r="I294" s="393"/>
    </row>
    <row r="295" spans="1:11" ht="27.75" customHeight="1">
      <c r="A295" s="383" t="s">
        <v>93</v>
      </c>
      <c r="B295" s="383"/>
      <c r="C295" s="383"/>
      <c r="D295" s="442">
        <f>G235</f>
        <v>0.45</v>
      </c>
      <c r="E295" s="443"/>
      <c r="F295" s="102">
        <f t="shared" si="3"/>
        <v>1200</v>
      </c>
      <c r="G295" s="391">
        <f t="shared" si="4"/>
        <v>540</v>
      </c>
      <c r="H295" s="392"/>
      <c r="I295" s="393"/>
    </row>
    <row r="296" spans="1:11" ht="25.5" customHeight="1">
      <c r="A296" s="383" t="s">
        <v>94</v>
      </c>
      <c r="B296" s="383"/>
      <c r="C296" s="383"/>
      <c r="D296" s="442">
        <f>G239</f>
        <v>2.27</v>
      </c>
      <c r="E296" s="443"/>
      <c r="F296" s="102">
        <f t="shared" si="3"/>
        <v>100</v>
      </c>
      <c r="G296" s="391">
        <f t="shared" si="4"/>
        <v>227</v>
      </c>
      <c r="H296" s="392"/>
      <c r="I296" s="393"/>
    </row>
    <row r="297" spans="1:11" ht="24" customHeight="1">
      <c r="A297" s="383" t="s">
        <v>95</v>
      </c>
      <c r="B297" s="383"/>
      <c r="C297" s="383"/>
      <c r="D297" s="442">
        <f>G243</f>
        <v>2.27</v>
      </c>
      <c r="E297" s="443"/>
      <c r="F297" s="102">
        <f t="shared" si="3"/>
        <v>150</v>
      </c>
      <c r="G297" s="391">
        <f t="shared" si="4"/>
        <v>340.5</v>
      </c>
      <c r="H297" s="392"/>
      <c r="I297" s="393"/>
    </row>
    <row r="298" spans="1:11" ht="27" customHeight="1">
      <c r="A298" s="383" t="s">
        <v>96</v>
      </c>
      <c r="B298" s="383"/>
      <c r="C298" s="383"/>
      <c r="D298" s="442">
        <f>G247</f>
        <v>2.27</v>
      </c>
      <c r="E298" s="443"/>
      <c r="F298" s="102">
        <f t="shared" si="3"/>
        <v>250</v>
      </c>
      <c r="G298" s="391">
        <f t="shared" si="4"/>
        <v>567.5</v>
      </c>
      <c r="H298" s="392"/>
      <c r="I298" s="393"/>
    </row>
    <row r="299" spans="1:11" ht="26.25" customHeight="1">
      <c r="A299" s="383" t="s">
        <v>97</v>
      </c>
      <c r="B299" s="383"/>
      <c r="C299" s="383"/>
      <c r="D299" s="442">
        <f>G251</f>
        <v>0.03</v>
      </c>
      <c r="E299" s="443"/>
      <c r="F299" s="102">
        <f t="shared" si="3"/>
        <v>800</v>
      </c>
      <c r="G299" s="391">
        <f t="shared" si="4"/>
        <v>24</v>
      </c>
      <c r="H299" s="392"/>
      <c r="I299" s="393"/>
      <c r="K299" s="1">
        <f>K295</f>
        <v>0</v>
      </c>
    </row>
    <row r="300" spans="1:11" ht="12.75" customHeight="1">
      <c r="A300" s="782" t="s">
        <v>180</v>
      </c>
      <c r="B300" s="820"/>
      <c r="C300" s="820"/>
      <c r="D300" s="820"/>
      <c r="E300" s="821"/>
      <c r="F300" s="82">
        <f>H28</f>
        <v>3000</v>
      </c>
      <c r="G300" s="394">
        <f>SUM(G294:G299)</f>
        <v>2834</v>
      </c>
      <c r="H300" s="395"/>
      <c r="I300" s="396"/>
    </row>
    <row r="301" spans="1:11" ht="9" customHeight="1">
      <c r="A301" s="574"/>
      <c r="B301" s="575"/>
      <c r="C301" s="575"/>
      <c r="D301" s="575"/>
      <c r="E301" s="575"/>
      <c r="F301" s="575"/>
      <c r="G301" s="575"/>
      <c r="H301" s="575"/>
      <c r="I301" s="573"/>
    </row>
    <row r="302" spans="1:11" ht="25.5" customHeight="1">
      <c r="A302" s="803" t="s">
        <v>181</v>
      </c>
      <c r="B302" s="804"/>
      <c r="C302" s="805"/>
      <c r="D302" s="780">
        <f>H258</f>
        <v>2.0699999999999998</v>
      </c>
      <c r="E302" s="781"/>
      <c r="F302" s="49">
        <f>H30</f>
        <v>100</v>
      </c>
      <c r="G302" s="391">
        <f>ROUND(D302*F302,2)</f>
        <v>207</v>
      </c>
      <c r="H302" s="392"/>
      <c r="I302" s="393"/>
    </row>
    <row r="303" spans="1:11" ht="24" customHeight="1">
      <c r="A303" s="440" t="s">
        <v>98</v>
      </c>
      <c r="B303" s="434"/>
      <c r="C303" s="441"/>
      <c r="D303" s="442">
        <f>H262</f>
        <v>1.03</v>
      </c>
      <c r="E303" s="443"/>
      <c r="F303" s="100">
        <f>H31</f>
        <v>250</v>
      </c>
      <c r="G303" s="391">
        <f>ROUND((D303*F303),2)</f>
        <v>257.5</v>
      </c>
      <c r="H303" s="392"/>
      <c r="I303" s="393"/>
    </row>
    <row r="304" spans="1:11" ht="14.1" customHeight="1">
      <c r="A304" s="440" t="s">
        <v>99</v>
      </c>
      <c r="B304" s="434"/>
      <c r="C304" s="441"/>
      <c r="D304" s="442">
        <f>H266</f>
        <v>1.03</v>
      </c>
      <c r="E304" s="443"/>
      <c r="F304" s="100">
        <f>H32</f>
        <v>350</v>
      </c>
      <c r="G304" s="391">
        <f>ROUND((D304*F304),2)</f>
        <v>360.5</v>
      </c>
      <c r="H304" s="392"/>
      <c r="I304" s="393"/>
    </row>
    <row r="305" spans="1:9" ht="12.75">
      <c r="A305" s="782" t="s">
        <v>210</v>
      </c>
      <c r="B305" s="820"/>
      <c r="C305" s="820"/>
      <c r="D305" s="824"/>
      <c r="E305" s="825"/>
      <c r="F305" s="80">
        <f>H33</f>
        <v>700</v>
      </c>
      <c r="G305" s="394">
        <f>SUM(G302:G304)</f>
        <v>825</v>
      </c>
      <c r="H305" s="395"/>
      <c r="I305" s="396"/>
    </row>
    <row r="306" spans="1:9" ht="8.25" customHeight="1">
      <c r="A306" s="574"/>
      <c r="B306" s="572"/>
      <c r="C306" s="572"/>
      <c r="D306" s="572"/>
      <c r="E306" s="572"/>
      <c r="F306" s="572"/>
      <c r="G306" s="572"/>
      <c r="H306" s="572"/>
      <c r="I306" s="573"/>
    </row>
    <row r="307" spans="1:9" ht="14.1" customHeight="1">
      <c r="A307" s="790" t="s">
        <v>214</v>
      </c>
      <c r="B307" s="791"/>
      <c r="C307" s="792"/>
      <c r="D307" s="786">
        <f>H272</f>
        <v>0.17</v>
      </c>
      <c r="E307" s="787"/>
      <c r="F307" s="50">
        <f>H36</f>
        <v>70</v>
      </c>
      <c r="G307" s="583">
        <f>ROUND((D307*F307),2)</f>
        <v>11.9</v>
      </c>
      <c r="H307" s="371"/>
      <c r="I307" s="393"/>
    </row>
    <row r="308" spans="1:9" ht="12.75">
      <c r="A308" s="782" t="s">
        <v>223</v>
      </c>
      <c r="B308" s="783"/>
      <c r="C308" s="783"/>
      <c r="D308" s="784"/>
      <c r="E308" s="785"/>
      <c r="F308" s="80">
        <f>F307</f>
        <v>70</v>
      </c>
      <c r="G308" s="394">
        <f>G307</f>
        <v>11.9</v>
      </c>
      <c r="H308" s="387"/>
      <c r="I308" s="396"/>
    </row>
    <row r="309" spans="1:9" ht="6.75" customHeight="1">
      <c r="A309" s="574"/>
      <c r="B309" s="817"/>
      <c r="C309" s="817"/>
      <c r="D309" s="572"/>
      <c r="E309" s="572"/>
      <c r="F309" s="572"/>
      <c r="G309" s="572"/>
      <c r="H309" s="572"/>
      <c r="I309" s="573"/>
    </row>
    <row r="310" spans="1:9" ht="14.1" customHeight="1">
      <c r="A310" s="833" t="s">
        <v>184</v>
      </c>
      <c r="B310" s="445"/>
      <c r="C310" s="834"/>
      <c r="D310" s="835"/>
      <c r="E310" s="836"/>
      <c r="F310" s="49">
        <v>0</v>
      </c>
      <c r="G310" s="391">
        <v>0</v>
      </c>
      <c r="H310" s="392"/>
      <c r="I310" s="393"/>
    </row>
    <row r="311" spans="1:9" ht="14.1" customHeight="1">
      <c r="A311" s="826" t="s">
        <v>211</v>
      </c>
      <c r="B311" s="827"/>
      <c r="C311" s="827"/>
      <c r="D311" s="828"/>
      <c r="E311" s="829"/>
      <c r="F311" s="22">
        <f>H37</f>
        <v>0</v>
      </c>
      <c r="G311" s="583">
        <f>H310</f>
        <v>0</v>
      </c>
      <c r="H311" s="577"/>
      <c r="I311" s="373"/>
    </row>
    <row r="312" spans="1:9" ht="7.5" customHeight="1">
      <c r="A312" s="837"/>
      <c r="B312" s="407"/>
      <c r="C312" s="407"/>
      <c r="D312" s="407"/>
      <c r="E312" s="407"/>
      <c r="F312" s="407"/>
      <c r="G312" s="407"/>
      <c r="H312" s="407"/>
      <c r="I312" s="408"/>
    </row>
    <row r="313" spans="1:9" ht="12.75">
      <c r="A313" s="809" t="s">
        <v>92</v>
      </c>
      <c r="B313" s="810"/>
      <c r="C313" s="810"/>
      <c r="D313" s="811"/>
      <c r="E313" s="812"/>
      <c r="F313" s="100">
        <f>H39</f>
        <v>0</v>
      </c>
      <c r="G313" s="391">
        <f>H313</f>
        <v>0</v>
      </c>
      <c r="H313" s="392"/>
      <c r="I313" s="818"/>
    </row>
    <row r="314" spans="1:9" ht="12.75">
      <c r="A314" s="813" t="s">
        <v>90</v>
      </c>
      <c r="B314" s="814"/>
      <c r="C314" s="814"/>
      <c r="D314" s="814"/>
      <c r="E314" s="814"/>
      <c r="F314" s="118">
        <v>0</v>
      </c>
      <c r="G314" s="577">
        <f>G313</f>
        <v>0</v>
      </c>
      <c r="H314" s="372"/>
      <c r="I314" s="373"/>
    </row>
    <row r="315" spans="1:9" ht="7.5" customHeight="1">
      <c r="A315" s="806"/>
      <c r="B315" s="807"/>
      <c r="C315" s="807"/>
      <c r="D315" s="808"/>
      <c r="E315" s="808"/>
      <c r="F315" s="808"/>
      <c r="G315" s="808"/>
      <c r="H315" s="808"/>
      <c r="I315" s="467"/>
    </row>
    <row r="316" spans="1:9" ht="12.75">
      <c r="A316" s="815" t="s">
        <v>134</v>
      </c>
      <c r="B316" s="815"/>
      <c r="C316" s="815"/>
      <c r="D316" s="815"/>
      <c r="E316" s="816"/>
      <c r="F316" s="50">
        <f>ROUND(F292+F300+F305+F308+F311 + F314,2)</f>
        <v>10770</v>
      </c>
      <c r="G316" s="583">
        <f>SUM(G292+G300+G305+G308+G311 + G314)</f>
        <v>33758.9</v>
      </c>
      <c r="H316" s="577"/>
      <c r="I316" s="373"/>
    </row>
    <row r="317" spans="1:9" ht="6.75" customHeight="1">
      <c r="A317" s="830"/>
      <c r="B317" s="831"/>
      <c r="C317" s="831"/>
      <c r="D317" s="831"/>
      <c r="E317" s="831"/>
      <c r="F317" s="831"/>
      <c r="G317" s="831"/>
      <c r="H317" s="831"/>
      <c r="I317" s="832"/>
    </row>
    <row r="318" spans="1:9" ht="18.75" customHeight="1">
      <c r="A318" s="450" t="s">
        <v>124</v>
      </c>
      <c r="B318" s="450"/>
      <c r="C318" s="450"/>
      <c r="D318" s="450"/>
      <c r="E318" s="450"/>
      <c r="F318" s="450"/>
      <c r="G318" s="451">
        <f>G316</f>
        <v>33758.9</v>
      </c>
      <c r="H318" s="452"/>
      <c r="I318" s="453"/>
    </row>
    <row r="319" spans="1:9" ht="8.25" customHeight="1">
      <c r="A319" s="822"/>
      <c r="B319" s="823"/>
      <c r="C319" s="823"/>
      <c r="D319" s="823"/>
      <c r="E319" s="823"/>
      <c r="F319" s="823"/>
      <c r="G319" s="823"/>
      <c r="H319" s="823"/>
      <c r="I319" s="823"/>
    </row>
    <row r="320" spans="1:9" ht="19.5" customHeight="1">
      <c r="A320" s="795" t="s">
        <v>314</v>
      </c>
      <c r="B320" s="796"/>
      <c r="C320" s="796"/>
      <c r="D320" s="796"/>
      <c r="E320" s="796"/>
      <c r="F320" s="797"/>
      <c r="G320" s="800">
        <f>H11</f>
        <v>12</v>
      </c>
      <c r="H320" s="801"/>
      <c r="I320" s="802"/>
    </row>
    <row r="321" spans="1:9" ht="8.25" customHeight="1">
      <c r="A321" s="798"/>
      <c r="B321" s="799"/>
      <c r="C321" s="799"/>
      <c r="D321" s="799"/>
      <c r="E321" s="799"/>
      <c r="F321" s="799"/>
      <c r="G321" s="799"/>
      <c r="H321" s="799"/>
      <c r="I321" s="799"/>
    </row>
    <row r="322" spans="1:9" ht="31.5" customHeight="1">
      <c r="A322" s="774" t="s">
        <v>315</v>
      </c>
      <c r="B322" s="775"/>
      <c r="C322" s="775"/>
      <c r="D322" s="775"/>
      <c r="E322" s="775"/>
      <c r="F322" s="776"/>
      <c r="G322" s="777">
        <f>ROUND(G316*G320,2)</f>
        <v>405106.8</v>
      </c>
      <c r="H322" s="778"/>
      <c r="I322" s="779"/>
    </row>
    <row r="323" spans="1:9" ht="8.25" customHeight="1">
      <c r="A323" s="788"/>
      <c r="B323" s="789"/>
      <c r="C323" s="789"/>
      <c r="D323" s="789"/>
      <c r="E323" s="789"/>
      <c r="F323" s="789"/>
      <c r="G323" s="789"/>
      <c r="H323" s="789"/>
      <c r="I323" s="340"/>
    </row>
    <row r="324" spans="1:9" ht="29.25" customHeight="1">
      <c r="A324" s="793" t="s">
        <v>320</v>
      </c>
      <c r="B324" s="794"/>
      <c r="C324" s="794"/>
      <c r="D324" s="794"/>
      <c r="E324" s="794"/>
      <c r="F324" s="794"/>
      <c r="G324" s="794"/>
      <c r="H324" s="794"/>
      <c r="I324" s="467"/>
    </row>
    <row r="325" spans="1:9">
      <c r="A325" s="766" t="s">
        <v>166</v>
      </c>
      <c r="B325" s="767"/>
      <c r="C325" s="767"/>
      <c r="D325" s="768"/>
      <c r="E325" s="768"/>
      <c r="F325" s="768"/>
      <c r="G325" s="769"/>
      <c r="H325" s="605" t="s">
        <v>158</v>
      </c>
      <c r="I325" s="606"/>
    </row>
    <row r="326" spans="1:9">
      <c r="A326" s="770"/>
      <c r="B326" s="771"/>
      <c r="C326" s="771"/>
      <c r="D326" s="772"/>
      <c r="E326" s="772"/>
      <c r="F326" s="772"/>
      <c r="G326" s="773"/>
      <c r="H326" s="607"/>
      <c r="I326" s="608"/>
    </row>
    <row r="327" spans="1:9" ht="12.75">
      <c r="A327" s="761" t="s">
        <v>154</v>
      </c>
      <c r="B327" s="762"/>
      <c r="C327" s="762"/>
      <c r="D327" s="466"/>
      <c r="E327" s="466"/>
      <c r="F327" s="466"/>
      <c r="G327" s="467"/>
      <c r="H327" s="764"/>
      <c r="I327" s="765"/>
    </row>
    <row r="328" spans="1:9" ht="12.75">
      <c r="A328" s="761" t="s">
        <v>155</v>
      </c>
      <c r="B328" s="762"/>
      <c r="C328" s="762"/>
      <c r="D328" s="466"/>
      <c r="E328" s="466"/>
      <c r="F328" s="466"/>
      <c r="G328" s="467"/>
      <c r="H328" s="764"/>
      <c r="I328" s="765"/>
    </row>
    <row r="329" spans="1:9" ht="12.75">
      <c r="A329" s="440"/>
      <c r="B329" s="434"/>
      <c r="C329" s="434"/>
      <c r="D329" s="466"/>
      <c r="E329" s="466"/>
      <c r="F329" s="466"/>
      <c r="G329" s="466"/>
      <c r="H329" s="466"/>
      <c r="I329" s="467"/>
    </row>
    <row r="330" spans="1:9" ht="9" customHeight="1">
      <c r="A330" s="760"/>
      <c r="B330" s="760"/>
      <c r="C330" s="760"/>
      <c r="D330" s="760"/>
      <c r="E330" s="760"/>
      <c r="F330" s="760"/>
      <c r="G330" s="760"/>
      <c r="H330" s="760"/>
      <c r="I330" s="474"/>
    </row>
    <row r="331" spans="1:9" hidden="1">
      <c r="A331" s="760"/>
      <c r="B331" s="760"/>
      <c r="C331" s="760"/>
      <c r="D331" s="760"/>
      <c r="E331" s="760"/>
      <c r="F331" s="760"/>
      <c r="G331" s="760"/>
      <c r="H331" s="760"/>
      <c r="I331" s="474"/>
    </row>
    <row r="332" spans="1:9" ht="27" customHeight="1">
      <c r="A332" s="759" t="s">
        <v>329</v>
      </c>
      <c r="B332" s="759"/>
      <c r="C332" s="759"/>
      <c r="D332" s="759"/>
      <c r="E332" s="759"/>
      <c r="F332" s="759"/>
      <c r="G332" s="759"/>
      <c r="H332" s="759"/>
      <c r="I332" s="474"/>
    </row>
    <row r="333" spans="1:9" ht="12.75">
      <c r="A333" s="400" t="s">
        <v>212</v>
      </c>
      <c r="B333" s="400"/>
      <c r="C333" s="400"/>
      <c r="D333" s="400"/>
      <c r="E333" s="400"/>
      <c r="F333" s="400"/>
      <c r="G333" s="400"/>
      <c r="H333" s="338" t="s">
        <v>160</v>
      </c>
      <c r="I333" s="399"/>
    </row>
    <row r="334" spans="1:9" ht="15">
      <c r="A334" s="763"/>
      <c r="B334" s="763"/>
      <c r="C334" s="763"/>
      <c r="D334" s="443"/>
      <c r="E334" s="443"/>
      <c r="F334" s="443"/>
      <c r="G334" s="443"/>
      <c r="H334" s="576"/>
      <c r="I334" s="399"/>
    </row>
    <row r="335" spans="1:9" ht="12.75">
      <c r="A335" s="438"/>
      <c r="B335" s="438"/>
      <c r="C335" s="438"/>
      <c r="D335" s="439"/>
      <c r="E335" s="439"/>
      <c r="F335" s="439"/>
      <c r="G335" s="439"/>
      <c r="H335" s="576"/>
      <c r="I335" s="399"/>
    </row>
    <row r="336" spans="1:9" ht="12.75">
      <c r="A336" s="561"/>
      <c r="B336" s="561"/>
      <c r="C336" s="561"/>
      <c r="D336" s="439"/>
      <c r="E336" s="439"/>
      <c r="F336" s="439"/>
      <c r="G336" s="439"/>
      <c r="H336" s="576"/>
      <c r="I336" s="399"/>
    </row>
    <row r="337" spans="1:9" ht="12.75">
      <c r="A337" s="30"/>
      <c r="B337" s="30"/>
      <c r="C337" s="30"/>
      <c r="D337" s="30"/>
      <c r="E337" s="30"/>
      <c r="F337" s="30"/>
      <c r="G337" s="30"/>
      <c r="H337" s="30"/>
      <c r="I337" s="43"/>
    </row>
    <row r="338" spans="1:9" ht="12.75">
      <c r="A338" s="23"/>
      <c r="B338" s="23"/>
      <c r="C338" s="23"/>
      <c r="D338" s="23"/>
      <c r="E338" s="23"/>
      <c r="F338" s="23"/>
      <c r="G338" s="23"/>
      <c r="H338" s="23"/>
      <c r="I338" s="44"/>
    </row>
    <row r="339" spans="1:9" ht="12.75">
      <c r="A339" s="23"/>
      <c r="B339" s="23"/>
      <c r="C339" s="23"/>
      <c r="D339" s="23"/>
      <c r="E339" s="23"/>
      <c r="F339" s="23"/>
      <c r="G339" s="23"/>
      <c r="H339" s="23"/>
      <c r="I339" s="44"/>
    </row>
    <row r="340" spans="1:9" ht="12.75">
      <c r="A340" s="23"/>
      <c r="B340" s="23"/>
      <c r="C340" s="23"/>
      <c r="D340" s="23"/>
      <c r="E340" s="23"/>
      <c r="F340" s="23"/>
      <c r="G340" s="23"/>
      <c r="H340" s="23"/>
      <c r="I340" s="44"/>
    </row>
    <row r="341" spans="1:9" ht="12.75">
      <c r="A341" s="23"/>
      <c r="B341" s="23"/>
      <c r="C341" s="23"/>
      <c r="D341" s="23"/>
      <c r="E341" s="23"/>
      <c r="F341" s="23"/>
      <c r="G341" s="23"/>
      <c r="H341" s="23"/>
      <c r="I341" s="44"/>
    </row>
    <row r="342" spans="1:9" ht="12.75">
      <c r="A342" s="23"/>
      <c r="B342" s="23"/>
      <c r="C342" s="23"/>
      <c r="D342" s="23"/>
      <c r="E342" s="23"/>
      <c r="F342" s="23"/>
      <c r="G342" s="23"/>
      <c r="H342" s="23"/>
      <c r="I342" s="44"/>
    </row>
    <row r="343" spans="1:9" ht="12.75">
      <c r="A343" s="23"/>
      <c r="B343" s="23"/>
      <c r="C343" s="23"/>
      <c r="D343" s="23"/>
      <c r="E343" s="23"/>
      <c r="F343" s="23"/>
      <c r="G343" s="23"/>
      <c r="H343" s="23"/>
      <c r="I343" s="44"/>
    </row>
    <row r="344" spans="1:9" ht="12.75">
      <c r="A344" s="550"/>
      <c r="B344" s="550"/>
      <c r="C344" s="550"/>
      <c r="D344" s="550"/>
      <c r="E344" s="550"/>
      <c r="F344" s="550"/>
      <c r="G344" s="550"/>
      <c r="H344" s="550"/>
      <c r="I344" s="39"/>
    </row>
    <row r="345" spans="1:9" ht="12.75">
      <c r="A345" s="584"/>
      <c r="B345" s="584"/>
      <c r="C345" s="584"/>
      <c r="D345" s="25"/>
      <c r="E345" s="578"/>
      <c r="F345" s="578"/>
      <c r="G345" s="578"/>
      <c r="H345" s="578"/>
      <c r="I345" s="42"/>
    </row>
    <row r="346" spans="1:9" ht="12.75">
      <c r="A346" s="584"/>
      <c r="B346" s="584"/>
      <c r="C346" s="584"/>
      <c r="D346" s="18"/>
      <c r="E346" s="578"/>
      <c r="F346" s="578"/>
      <c r="G346" s="578"/>
      <c r="H346" s="578"/>
      <c r="I346" s="42"/>
    </row>
    <row r="347" spans="1:9" ht="12.75">
      <c r="A347" s="584"/>
      <c r="B347" s="584"/>
      <c r="C347" s="584"/>
      <c r="D347" s="18"/>
      <c r="E347" s="578"/>
      <c r="F347" s="578"/>
      <c r="G347" s="578"/>
      <c r="H347" s="578"/>
      <c r="I347" s="42"/>
    </row>
    <row r="348" spans="1:9" ht="12.75">
      <c r="A348" s="584"/>
      <c r="B348" s="584"/>
      <c r="C348" s="584"/>
      <c r="D348" s="18"/>
      <c r="E348" s="578"/>
      <c r="F348" s="578"/>
      <c r="G348" s="578"/>
      <c r="H348" s="578"/>
      <c r="I348" s="42"/>
    </row>
    <row r="349" spans="1:9" ht="12.75">
      <c r="A349" s="584"/>
      <c r="B349" s="584"/>
      <c r="C349" s="584"/>
      <c r="D349" s="18"/>
      <c r="E349" s="578"/>
      <c r="F349" s="578"/>
      <c r="G349" s="578"/>
      <c r="H349" s="578"/>
      <c r="I349" s="42"/>
    </row>
    <row r="350" spans="1:9">
      <c r="A350" s="414"/>
      <c r="B350" s="414"/>
      <c r="C350" s="414"/>
      <c r="D350" s="414"/>
      <c r="E350" s="414"/>
      <c r="F350" s="414"/>
      <c r="G350" s="414"/>
      <c r="H350" s="414"/>
      <c r="I350" s="45"/>
    </row>
  </sheetData>
  <mergeCells count="627">
    <mergeCell ref="A291:C291"/>
    <mergeCell ref="D291:E291"/>
    <mergeCell ref="A288:C288"/>
    <mergeCell ref="H273:I273"/>
    <mergeCell ref="G296:I296"/>
    <mergeCell ref="D285:E285"/>
    <mergeCell ref="D289:E289"/>
    <mergeCell ref="G290:I290"/>
    <mergeCell ref="D296:E296"/>
    <mergeCell ref="G285:I285"/>
    <mergeCell ref="G292:I292"/>
    <mergeCell ref="G291:I291"/>
    <mergeCell ref="D294:E294"/>
    <mergeCell ref="D295:E295"/>
    <mergeCell ref="G295:I295"/>
    <mergeCell ref="G288:I288"/>
    <mergeCell ref="A292:E292"/>
    <mergeCell ref="A273:G273"/>
    <mergeCell ref="E278:F278"/>
    <mergeCell ref="G279:I279"/>
    <mergeCell ref="A279:B279"/>
    <mergeCell ref="D299:E299"/>
    <mergeCell ref="A294:C294"/>
    <mergeCell ref="A300:E300"/>
    <mergeCell ref="A299:C299"/>
    <mergeCell ref="G294:I294"/>
    <mergeCell ref="A319:I319"/>
    <mergeCell ref="A305:E305"/>
    <mergeCell ref="A311:E311"/>
    <mergeCell ref="G311:I311"/>
    <mergeCell ref="A295:C295"/>
    <mergeCell ref="A317:I317"/>
    <mergeCell ref="A296:C296"/>
    <mergeCell ref="G297:I297"/>
    <mergeCell ref="G298:I298"/>
    <mergeCell ref="A310:C310"/>
    <mergeCell ref="D310:E310"/>
    <mergeCell ref="A312:I312"/>
    <mergeCell ref="A322:F322"/>
    <mergeCell ref="G303:I303"/>
    <mergeCell ref="G316:I316"/>
    <mergeCell ref="G322:I322"/>
    <mergeCell ref="A327:G327"/>
    <mergeCell ref="D302:E302"/>
    <mergeCell ref="A308:E308"/>
    <mergeCell ref="D307:E307"/>
    <mergeCell ref="A323:I323"/>
    <mergeCell ref="H327:I327"/>
    <mergeCell ref="A307:C307"/>
    <mergeCell ref="G302:I302"/>
    <mergeCell ref="A324:I324"/>
    <mergeCell ref="A320:F320"/>
    <mergeCell ref="A321:I321"/>
    <mergeCell ref="G320:I320"/>
    <mergeCell ref="A302:C302"/>
    <mergeCell ref="A315:I315"/>
    <mergeCell ref="A313:E313"/>
    <mergeCell ref="A314:E314"/>
    <mergeCell ref="A316:E316"/>
    <mergeCell ref="A309:I309"/>
    <mergeCell ref="G310:I310"/>
    <mergeCell ref="G313:I313"/>
    <mergeCell ref="A332:I332"/>
    <mergeCell ref="H333:I333"/>
    <mergeCell ref="A333:G333"/>
    <mergeCell ref="A330:I331"/>
    <mergeCell ref="A328:G328"/>
    <mergeCell ref="A329:I329"/>
    <mergeCell ref="A334:G334"/>
    <mergeCell ref="H328:I328"/>
    <mergeCell ref="A325:G326"/>
    <mergeCell ref="A192:H192"/>
    <mergeCell ref="A193:H193"/>
    <mergeCell ref="A154:G154"/>
    <mergeCell ref="A173:H173"/>
    <mergeCell ref="A172:I172"/>
    <mergeCell ref="A182:I182"/>
    <mergeCell ref="F184:G184"/>
    <mergeCell ref="F185:G185"/>
    <mergeCell ref="F186:G186"/>
    <mergeCell ref="A188:I188"/>
    <mergeCell ref="A189:I189"/>
    <mergeCell ref="A180:H180"/>
    <mergeCell ref="C183:D183"/>
    <mergeCell ref="A181:I181"/>
    <mergeCell ref="B179:H179"/>
    <mergeCell ref="A191:H191"/>
    <mergeCell ref="A183:B183"/>
    <mergeCell ref="F183:G183"/>
    <mergeCell ref="B96:G96"/>
    <mergeCell ref="B97:G97"/>
    <mergeCell ref="B98:G98"/>
    <mergeCell ref="B99:G99"/>
    <mergeCell ref="A91:I91"/>
    <mergeCell ref="C167:I167"/>
    <mergeCell ref="C168:I168"/>
    <mergeCell ref="B100:G100"/>
    <mergeCell ref="B102:G102"/>
    <mergeCell ref="B101:C101"/>
    <mergeCell ref="A150:G150"/>
    <mergeCell ref="A152:G152"/>
    <mergeCell ref="B162:G162"/>
    <mergeCell ref="B159:G159"/>
    <mergeCell ref="B156:G156"/>
    <mergeCell ref="B153:G153"/>
    <mergeCell ref="A164:I164"/>
    <mergeCell ref="B157:G157"/>
    <mergeCell ref="B158:G158"/>
    <mergeCell ref="B155:G155"/>
    <mergeCell ref="B161:G161"/>
    <mergeCell ref="B137:H137"/>
    <mergeCell ref="A136:H136"/>
    <mergeCell ref="B134:H134"/>
    <mergeCell ref="A4:E4"/>
    <mergeCell ref="A5:E5"/>
    <mergeCell ref="A55:I55"/>
    <mergeCell ref="A56:I56"/>
    <mergeCell ref="A6:I6"/>
    <mergeCell ref="A7:I7"/>
    <mergeCell ref="B8:G8"/>
    <mergeCell ref="H8:I8"/>
    <mergeCell ref="H13:I13"/>
    <mergeCell ref="A15:E15"/>
    <mergeCell ref="B11:G11"/>
    <mergeCell ref="H11:I11"/>
    <mergeCell ref="B10:G10"/>
    <mergeCell ref="H10:I10"/>
    <mergeCell ref="B9:G9"/>
    <mergeCell ref="H9:I9"/>
    <mergeCell ref="A14:E14"/>
    <mergeCell ref="F14:G14"/>
    <mergeCell ref="H14:I14"/>
    <mergeCell ref="H19:I19"/>
    <mergeCell ref="H20:I20"/>
    <mergeCell ref="H42:I42"/>
    <mergeCell ref="A42:G42"/>
    <mergeCell ref="B51:G51"/>
    <mergeCell ref="B131:H131"/>
    <mergeCell ref="A138:H138"/>
    <mergeCell ref="A113:I113"/>
    <mergeCell ref="B121:H121"/>
    <mergeCell ref="B122:H122"/>
    <mergeCell ref="B120:H120"/>
    <mergeCell ref="B123:H123"/>
    <mergeCell ref="A171:I171"/>
    <mergeCell ref="A170:I170"/>
    <mergeCell ref="A166:B168"/>
    <mergeCell ref="A139:I139"/>
    <mergeCell ref="B132:H132"/>
    <mergeCell ref="B140:H140"/>
    <mergeCell ref="B142:H142"/>
    <mergeCell ref="B143:H143"/>
    <mergeCell ref="A169:I169"/>
    <mergeCell ref="C166:I166"/>
    <mergeCell ref="A165:G165"/>
    <mergeCell ref="B115:H115"/>
    <mergeCell ref="B117:H117"/>
    <mergeCell ref="B145:H145"/>
    <mergeCell ref="A148:I148"/>
    <mergeCell ref="B149:G149"/>
    <mergeCell ref="B151:G151"/>
    <mergeCell ref="B60:G60"/>
    <mergeCell ref="A27:E27"/>
    <mergeCell ref="F27:G27"/>
    <mergeCell ref="A31:E31"/>
    <mergeCell ref="F31:G31"/>
    <mergeCell ref="B52:G52"/>
    <mergeCell ref="H52:I52"/>
    <mergeCell ref="H51:I51"/>
    <mergeCell ref="A45:I45"/>
    <mergeCell ref="A48:I48"/>
    <mergeCell ref="A47:I47"/>
    <mergeCell ref="A49:I49"/>
    <mergeCell ref="A46:I46"/>
    <mergeCell ref="A34:I34"/>
    <mergeCell ref="H44:I44"/>
    <mergeCell ref="H36:I36"/>
    <mergeCell ref="H41:I41"/>
    <mergeCell ref="A43:I43"/>
    <mergeCell ref="A36:G36"/>
    <mergeCell ref="H39:I39"/>
    <mergeCell ref="H38:I38"/>
    <mergeCell ref="A37:I37"/>
    <mergeCell ref="A23:E23"/>
    <mergeCell ref="A24:E24"/>
    <mergeCell ref="A38:E38"/>
    <mergeCell ref="F38:G38"/>
    <mergeCell ref="B61:G61"/>
    <mergeCell ref="B88:H88"/>
    <mergeCell ref="B84:H84"/>
    <mergeCell ref="B87:H87"/>
    <mergeCell ref="B85:H85"/>
    <mergeCell ref="B78:H78"/>
    <mergeCell ref="B76:H76"/>
    <mergeCell ref="B70:G70"/>
    <mergeCell ref="A80:I80"/>
    <mergeCell ref="A83:I83"/>
    <mergeCell ref="A81:I81"/>
    <mergeCell ref="A82:I82"/>
    <mergeCell ref="B77:H77"/>
    <mergeCell ref="B64:H64"/>
    <mergeCell ref="B74:H74"/>
    <mergeCell ref="B75:H75"/>
    <mergeCell ref="A44:G44"/>
    <mergeCell ref="A39:G39"/>
    <mergeCell ref="A41:E41"/>
    <mergeCell ref="F41:G41"/>
    <mergeCell ref="B86:H86"/>
    <mergeCell ref="A119:I119"/>
    <mergeCell ref="B176:H176"/>
    <mergeCell ref="B111:H111"/>
    <mergeCell ref="B108:H108"/>
    <mergeCell ref="B109:H109"/>
    <mergeCell ref="A103:G103"/>
    <mergeCell ref="B95:G95"/>
    <mergeCell ref="A93:I93"/>
    <mergeCell ref="B94:G94"/>
    <mergeCell ref="A89:H89"/>
    <mergeCell ref="A107:I107"/>
    <mergeCell ref="A90:I90"/>
    <mergeCell ref="A105:I105"/>
    <mergeCell ref="A106:I106"/>
    <mergeCell ref="B146:H146"/>
    <mergeCell ref="A110:H110"/>
    <mergeCell ref="B135:H135"/>
    <mergeCell ref="B124:H124"/>
    <mergeCell ref="A112:H112"/>
    <mergeCell ref="A118:H118"/>
    <mergeCell ref="B116:H116"/>
    <mergeCell ref="A114:I114"/>
    <mergeCell ref="B141:H141"/>
    <mergeCell ref="F4:I4"/>
    <mergeCell ref="A184:B184"/>
    <mergeCell ref="F5:I5"/>
    <mergeCell ref="H23:I23"/>
    <mergeCell ref="H33:I33"/>
    <mergeCell ref="H31:I31"/>
    <mergeCell ref="A21:I21"/>
    <mergeCell ref="H15:I15"/>
    <mergeCell ref="A19:E19"/>
    <mergeCell ref="F17:G17"/>
    <mergeCell ref="B177:H177"/>
    <mergeCell ref="A178:H178"/>
    <mergeCell ref="B53:G53"/>
    <mergeCell ref="A57:I57"/>
    <mergeCell ref="A54:I54"/>
    <mergeCell ref="H53:I53"/>
    <mergeCell ref="A66:H66"/>
    <mergeCell ref="B59:H59"/>
    <mergeCell ref="B65:H65"/>
    <mergeCell ref="B63:H63"/>
    <mergeCell ref="B58:G58"/>
    <mergeCell ref="B160:G160"/>
    <mergeCell ref="A163:H163"/>
    <mergeCell ref="B62:H62"/>
    <mergeCell ref="A199:I199"/>
    <mergeCell ref="A202:I202"/>
    <mergeCell ref="G203:I203"/>
    <mergeCell ref="G204:I204"/>
    <mergeCell ref="G205:I205"/>
    <mergeCell ref="C205:D205"/>
    <mergeCell ref="A205:B205"/>
    <mergeCell ref="C209:D209"/>
    <mergeCell ref="A204:B204"/>
    <mergeCell ref="C204:D204"/>
    <mergeCell ref="E204:F204"/>
    <mergeCell ref="A203:B203"/>
    <mergeCell ref="E203:F203"/>
    <mergeCell ref="A350:H350"/>
    <mergeCell ref="A208:B208"/>
    <mergeCell ref="C208:D208"/>
    <mergeCell ref="E208:F208"/>
    <mergeCell ref="A210:F210"/>
    <mergeCell ref="A212:B212"/>
    <mergeCell ref="C212:D212"/>
    <mergeCell ref="E212:F212"/>
    <mergeCell ref="A213:B213"/>
    <mergeCell ref="C213:D213"/>
    <mergeCell ref="D262:E262"/>
    <mergeCell ref="D265:E265"/>
    <mergeCell ref="A278:B278"/>
    <mergeCell ref="C278:D278"/>
    <mergeCell ref="D272:E272"/>
    <mergeCell ref="A274:I274"/>
    <mergeCell ref="E277:F277"/>
    <mergeCell ref="A264:I264"/>
    <mergeCell ref="A263:G263"/>
    <mergeCell ref="H270:I270"/>
    <mergeCell ref="A280:F280"/>
    <mergeCell ref="E209:F209"/>
    <mergeCell ref="H334:I334"/>
    <mergeCell ref="H325:I326"/>
    <mergeCell ref="EG49:EN49"/>
    <mergeCell ref="EO49:EV49"/>
    <mergeCell ref="EW49:FD49"/>
    <mergeCell ref="IG49:IN49"/>
    <mergeCell ref="FE49:FL49"/>
    <mergeCell ref="FM49:FT49"/>
    <mergeCell ref="FU49:GB49"/>
    <mergeCell ref="GC49:GJ49"/>
    <mergeCell ref="IO49:IV49"/>
    <mergeCell ref="GK49:GR49"/>
    <mergeCell ref="GS49:GZ49"/>
    <mergeCell ref="HA49:HH49"/>
    <mergeCell ref="HI49:HP49"/>
    <mergeCell ref="HQ49:HX49"/>
    <mergeCell ref="HY49:IF49"/>
    <mergeCell ref="BE49:BL49"/>
    <mergeCell ref="BM49:BT49"/>
    <mergeCell ref="BU49:CB49"/>
    <mergeCell ref="DI49:DP49"/>
    <mergeCell ref="CC49:CJ49"/>
    <mergeCell ref="CK49:CR49"/>
    <mergeCell ref="DQ49:DX49"/>
    <mergeCell ref="DY49:EF49"/>
    <mergeCell ref="CS49:CZ49"/>
    <mergeCell ref="DA49:DH49"/>
    <mergeCell ref="AO49:AV49"/>
    <mergeCell ref="A243:B243"/>
    <mergeCell ref="C243:D243"/>
    <mergeCell ref="E243:F243"/>
    <mergeCell ref="A240:F240"/>
    <mergeCell ref="AW49:BD49"/>
    <mergeCell ref="A206:F206"/>
    <mergeCell ref="A220:B220"/>
    <mergeCell ref="C220:D220"/>
    <mergeCell ref="E220:F220"/>
    <mergeCell ref="A218:F218"/>
    <mergeCell ref="A219:I219"/>
    <mergeCell ref="G208:I208"/>
    <mergeCell ref="G209:I209"/>
    <mergeCell ref="G210:I210"/>
    <mergeCell ref="C230:D230"/>
    <mergeCell ref="A225:B225"/>
    <mergeCell ref="A223:I223"/>
    <mergeCell ref="A227:I227"/>
    <mergeCell ref="G225:I225"/>
    <mergeCell ref="A232:F232"/>
    <mergeCell ref="G231:I231"/>
    <mergeCell ref="G226:I226"/>
    <mergeCell ref="E230:F230"/>
    <mergeCell ref="H335:I335"/>
    <mergeCell ref="E345:H349"/>
    <mergeCell ref="A229:B229"/>
    <mergeCell ref="C229:D229"/>
    <mergeCell ref="E229:F229"/>
    <mergeCell ref="A250:B250"/>
    <mergeCell ref="A268:I268"/>
    <mergeCell ref="D266:E266"/>
    <mergeCell ref="D270:E270"/>
    <mergeCell ref="A306:I306"/>
    <mergeCell ref="G307:I307"/>
    <mergeCell ref="A349:C349"/>
    <mergeCell ref="A345:C345"/>
    <mergeCell ref="A346:C346"/>
    <mergeCell ref="A347:C347"/>
    <mergeCell ref="A348:C348"/>
    <mergeCell ref="C279:D279"/>
    <mergeCell ref="D271:E271"/>
    <mergeCell ref="G278:I278"/>
    <mergeCell ref="H272:I272"/>
    <mergeCell ref="A287:C287"/>
    <mergeCell ref="D287:E287"/>
    <mergeCell ref="G286:I286"/>
    <mergeCell ref="G287:I287"/>
    <mergeCell ref="A344:H344"/>
    <mergeCell ref="E279:F279"/>
    <mergeCell ref="G280:I280"/>
    <mergeCell ref="A281:I281"/>
    <mergeCell ref="A282:I282"/>
    <mergeCell ref="A286:C286"/>
    <mergeCell ref="D286:E286"/>
    <mergeCell ref="A285:C285"/>
    <mergeCell ref="A336:G336"/>
    <mergeCell ref="G308:I308"/>
    <mergeCell ref="A283:I284"/>
    <mergeCell ref="D288:E288"/>
    <mergeCell ref="A289:C289"/>
    <mergeCell ref="A293:I293"/>
    <mergeCell ref="A290:C290"/>
    <mergeCell ref="D290:E290"/>
    <mergeCell ref="G289:I289"/>
    <mergeCell ref="A301:I301"/>
    <mergeCell ref="A297:C297"/>
    <mergeCell ref="D297:E297"/>
    <mergeCell ref="A298:C298"/>
    <mergeCell ref="D298:E298"/>
    <mergeCell ref="H336:I336"/>
    <mergeCell ref="G314:I314"/>
    <mergeCell ref="A67:I67"/>
    <mergeCell ref="B73:G73"/>
    <mergeCell ref="B71:G71"/>
    <mergeCell ref="A190:H190"/>
    <mergeCell ref="B79:H79"/>
    <mergeCell ref="B68:H68"/>
    <mergeCell ref="B69:H69"/>
    <mergeCell ref="B72:H72"/>
    <mergeCell ref="B174:H174"/>
    <mergeCell ref="A185:B185"/>
    <mergeCell ref="A186:B186"/>
    <mergeCell ref="C184:D184"/>
    <mergeCell ref="A147:H147"/>
    <mergeCell ref="B125:H125"/>
    <mergeCell ref="A128:I128"/>
    <mergeCell ref="B133:H133"/>
    <mergeCell ref="B129:H129"/>
    <mergeCell ref="B126:H126"/>
    <mergeCell ref="B130:H130"/>
    <mergeCell ref="B144:H144"/>
    <mergeCell ref="A127:H127"/>
    <mergeCell ref="B175:H175"/>
    <mergeCell ref="C185:D185"/>
    <mergeCell ref="C186:D186"/>
    <mergeCell ref="AG49:AN49"/>
    <mergeCell ref="J49:P49"/>
    <mergeCell ref="H50:I50"/>
    <mergeCell ref="B50:G50"/>
    <mergeCell ref="Q49:X49"/>
    <mergeCell ref="Y49:AF49"/>
    <mergeCell ref="H35:I35"/>
    <mergeCell ref="F22:G22"/>
    <mergeCell ref="F23:G23"/>
    <mergeCell ref="F32:G32"/>
    <mergeCell ref="A33:G33"/>
    <mergeCell ref="H32:I32"/>
    <mergeCell ref="F24:G24"/>
    <mergeCell ref="A22:E22"/>
    <mergeCell ref="A26:E26"/>
    <mergeCell ref="F26:G26"/>
    <mergeCell ref="F30:G30"/>
    <mergeCell ref="F25:G25"/>
    <mergeCell ref="A30:E30"/>
    <mergeCell ref="A35:E35"/>
    <mergeCell ref="F35:G35"/>
    <mergeCell ref="A32:E32"/>
    <mergeCell ref="A25:E25"/>
    <mergeCell ref="A28:G28"/>
    <mergeCell ref="A2:I2"/>
    <mergeCell ref="A29:I29"/>
    <mergeCell ref="H30:I30"/>
    <mergeCell ref="A3:I3"/>
    <mergeCell ref="H27:I27"/>
    <mergeCell ref="H24:I24"/>
    <mergeCell ref="H25:I25"/>
    <mergeCell ref="H26:I26"/>
    <mergeCell ref="H28:I28"/>
    <mergeCell ref="H22:I22"/>
    <mergeCell ref="F16:G16"/>
    <mergeCell ref="H16:I16"/>
    <mergeCell ref="H17:I17"/>
    <mergeCell ref="H18:I18"/>
    <mergeCell ref="F19:G19"/>
    <mergeCell ref="F15:G15"/>
    <mergeCell ref="A16:E16"/>
    <mergeCell ref="A20:G20"/>
    <mergeCell ref="A17:E17"/>
    <mergeCell ref="A18:E18"/>
    <mergeCell ref="F18:G18"/>
    <mergeCell ref="A12:I12"/>
    <mergeCell ref="A13:E13"/>
    <mergeCell ref="F13:G13"/>
    <mergeCell ref="AW216:BD227"/>
    <mergeCell ref="J216:P227"/>
    <mergeCell ref="Q216:X227"/>
    <mergeCell ref="Y216:AF227"/>
    <mergeCell ref="AG216:AN227"/>
    <mergeCell ref="A209:B209"/>
    <mergeCell ref="A214:F214"/>
    <mergeCell ref="A196:I196"/>
    <mergeCell ref="A187:H187"/>
    <mergeCell ref="G206:I206"/>
    <mergeCell ref="A207:I207"/>
    <mergeCell ref="G213:I213"/>
    <mergeCell ref="G214:I214"/>
    <mergeCell ref="A211:I211"/>
    <mergeCell ref="C225:D225"/>
    <mergeCell ref="G212:I212"/>
    <mergeCell ref="A215:I215"/>
    <mergeCell ref="C221:D221"/>
    <mergeCell ref="A195:I195"/>
    <mergeCell ref="A194:I194"/>
    <mergeCell ref="A198:I198"/>
    <mergeCell ref="A201:I201"/>
    <mergeCell ref="E205:F205"/>
    <mergeCell ref="C203:D203"/>
    <mergeCell ref="IO216:IV227"/>
    <mergeCell ref="CC216:CJ227"/>
    <mergeCell ref="BU216:CB227"/>
    <mergeCell ref="HY216:IF227"/>
    <mergeCell ref="IG216:IN227"/>
    <mergeCell ref="DQ216:DX227"/>
    <mergeCell ref="DY216:EF227"/>
    <mergeCell ref="DA216:DH227"/>
    <mergeCell ref="DI216:DP227"/>
    <mergeCell ref="HQ216:HX227"/>
    <mergeCell ref="HI216:HP227"/>
    <mergeCell ref="FE216:FL227"/>
    <mergeCell ref="EG216:EN227"/>
    <mergeCell ref="EO216:EV227"/>
    <mergeCell ref="GS216:GZ227"/>
    <mergeCell ref="HA216:HH227"/>
    <mergeCell ref="CK216:CR227"/>
    <mergeCell ref="CS216:CZ227"/>
    <mergeCell ref="GC216:GJ227"/>
    <mergeCell ref="GK216:GR227"/>
    <mergeCell ref="FM216:FT227"/>
    <mergeCell ref="FU216:GB227"/>
    <mergeCell ref="EW216:FD227"/>
    <mergeCell ref="BM216:BT227"/>
    <mergeCell ref="A335:G335"/>
    <mergeCell ref="G304:I304"/>
    <mergeCell ref="A304:C304"/>
    <mergeCell ref="D304:E304"/>
    <mergeCell ref="A303:C303"/>
    <mergeCell ref="D303:E303"/>
    <mergeCell ref="G305:I305"/>
    <mergeCell ref="AO216:AV227"/>
    <mergeCell ref="A275:H276"/>
    <mergeCell ref="G277:I277"/>
    <mergeCell ref="A277:B277"/>
    <mergeCell ref="C277:D277"/>
    <mergeCell ref="G244:I244"/>
    <mergeCell ref="A245:I245"/>
    <mergeCell ref="G243:I243"/>
    <mergeCell ref="G239:I239"/>
    <mergeCell ref="A238:B238"/>
    <mergeCell ref="E238:F238"/>
    <mergeCell ref="H259:I259"/>
    <mergeCell ref="G252:I252"/>
    <mergeCell ref="A253:I253"/>
    <mergeCell ref="A318:F318"/>
    <mergeCell ref="G318:I318"/>
    <mergeCell ref="BE216:BL227"/>
    <mergeCell ref="A254:I255"/>
    <mergeCell ref="A252:F252"/>
    <mergeCell ref="D257:E257"/>
    <mergeCell ref="D258:E258"/>
    <mergeCell ref="H257:I257"/>
    <mergeCell ref="A259:G259"/>
    <mergeCell ref="C224:D224"/>
    <mergeCell ref="A251:B251"/>
    <mergeCell ref="G247:I247"/>
    <mergeCell ref="A247:B247"/>
    <mergeCell ref="C247:D247"/>
    <mergeCell ref="E247:F247"/>
    <mergeCell ref="A248:F248"/>
    <mergeCell ref="C251:D251"/>
    <mergeCell ref="E251:F251"/>
    <mergeCell ref="G218:I218"/>
    <mergeCell ref="E217:F217"/>
    <mergeCell ref="A217:B217"/>
    <mergeCell ref="A228:I228"/>
    <mergeCell ref="A234:B234"/>
    <mergeCell ref="A239:B239"/>
    <mergeCell ref="A242:B242"/>
    <mergeCell ref="G240:I240"/>
    <mergeCell ref="A269:I269"/>
    <mergeCell ref="A267:G267"/>
    <mergeCell ref="H271:I271"/>
    <mergeCell ref="G299:I299"/>
    <mergeCell ref="G300:I300"/>
    <mergeCell ref="G238:I238"/>
    <mergeCell ref="H258:I258"/>
    <mergeCell ref="E250:F250"/>
    <mergeCell ref="A249:I249"/>
    <mergeCell ref="H256:I256"/>
    <mergeCell ref="C250:D250"/>
    <mergeCell ref="D256:E256"/>
    <mergeCell ref="G250:I250"/>
    <mergeCell ref="C238:D238"/>
    <mergeCell ref="G248:I248"/>
    <mergeCell ref="A246:B246"/>
    <mergeCell ref="H262:I262"/>
    <mergeCell ref="H263:I263"/>
    <mergeCell ref="D261:E261"/>
    <mergeCell ref="H261:I261"/>
    <mergeCell ref="A260:I260"/>
    <mergeCell ref="H265:I265"/>
    <mergeCell ref="H266:I266"/>
    <mergeCell ref="H267:I267"/>
    <mergeCell ref="G251:I251"/>
    <mergeCell ref="C234:D234"/>
    <mergeCell ref="E234:F234"/>
    <mergeCell ref="A236:F236"/>
    <mergeCell ref="G236:I236"/>
    <mergeCell ref="A237:I237"/>
    <mergeCell ref="C231:D231"/>
    <mergeCell ref="G232:I232"/>
    <mergeCell ref="A233:I233"/>
    <mergeCell ref="C246:D246"/>
    <mergeCell ref="E246:F246"/>
    <mergeCell ref="G246:I246"/>
    <mergeCell ref="G242:I242"/>
    <mergeCell ref="C239:D239"/>
    <mergeCell ref="C242:D242"/>
    <mergeCell ref="E242:F242"/>
    <mergeCell ref="A244:F244"/>
    <mergeCell ref="A235:B235"/>
    <mergeCell ref="C235:D235"/>
    <mergeCell ref="E235:F235"/>
    <mergeCell ref="A231:B231"/>
    <mergeCell ref="E231:F231"/>
    <mergeCell ref="G235:I235"/>
    <mergeCell ref="A241:I241"/>
    <mergeCell ref="G234:I234"/>
    <mergeCell ref="G229:I229"/>
    <mergeCell ref="E239:F239"/>
    <mergeCell ref="E213:F213"/>
    <mergeCell ref="E216:F216"/>
    <mergeCell ref="G216:I216"/>
    <mergeCell ref="A226:F226"/>
    <mergeCell ref="G224:I224"/>
    <mergeCell ref="E224:F224"/>
    <mergeCell ref="E225:F225"/>
    <mergeCell ref="C216:D216"/>
    <mergeCell ref="G230:I230"/>
    <mergeCell ref="A216:B216"/>
    <mergeCell ref="C217:D217"/>
    <mergeCell ref="G222:I222"/>
    <mergeCell ref="G220:I220"/>
    <mergeCell ref="G221:I221"/>
    <mergeCell ref="G217:I217"/>
    <mergeCell ref="E221:F221"/>
    <mergeCell ref="A230:B230"/>
    <mergeCell ref="A222:F222"/>
    <mergeCell ref="A224:B224"/>
    <mergeCell ref="A221:B221"/>
  </mergeCells>
  <phoneticPr fontId="0" type="noConversion"/>
  <pageMargins left="0.78740157480314965" right="0.31496062992125984" top="0.43307086614173229" bottom="0.31496062992125984" header="3.937007874015748E-2" footer="3.937007874015748E-2"/>
  <pageSetup paperSize="9" scale="76" orientation="portrait" horizontalDpi="1200" r:id="rId1"/>
  <headerFooter alignWithMargins="0"/>
  <rowBreaks count="7" manualBreakCount="7">
    <brk id="56" max="8" man="1"/>
    <brk id="105" max="8" man="1"/>
    <brk id="147" max="8" man="1"/>
    <brk id="197" max="8" man="1"/>
    <brk id="248" max="8" man="1"/>
    <brk id="282" max="8" man="1"/>
    <brk id="337" max="7" man="1"/>
  </rowBreaks>
  <legacyDrawing r:id="rId2"/>
</worksheet>
</file>

<file path=xl/worksheets/sheet10.xml><?xml version="1.0" encoding="utf-8"?>
<worksheet xmlns="http://schemas.openxmlformats.org/spreadsheetml/2006/main" xmlns:r="http://schemas.openxmlformats.org/officeDocument/2006/relationships">
  <sheetPr>
    <tabColor rgb="FF00B050"/>
  </sheetPr>
  <dimension ref="B2:J100"/>
  <sheetViews>
    <sheetView showGridLines="0" topLeftCell="A81" zoomScale="90" zoomScaleNormal="90" workbookViewId="0">
      <selection activeCell="J67" sqref="J67"/>
    </sheetView>
  </sheetViews>
  <sheetFormatPr defaultRowHeight="12.75"/>
  <cols>
    <col min="1" max="1" width="1.28515625" customWidth="1"/>
    <col min="2" max="2" width="9.28515625" customWidth="1"/>
    <col min="3" max="3" width="70.7109375" customWidth="1"/>
    <col min="4" max="4" width="21.5703125" customWidth="1"/>
    <col min="5" max="5" width="13.140625" customWidth="1"/>
    <col min="6" max="7" width="1.28515625" customWidth="1"/>
    <col min="8" max="8" width="13.85546875" customWidth="1"/>
    <col min="9" max="9" width="1.28515625" customWidth="1"/>
    <col min="10" max="10" width="12.140625" customWidth="1"/>
  </cols>
  <sheetData>
    <row r="2" spans="2:10" ht="19.5">
      <c r="C2" s="325" t="s">
        <v>629</v>
      </c>
      <c r="D2" s="326"/>
      <c r="E2" s="327"/>
    </row>
    <row r="3" spans="2:10" ht="16.5">
      <c r="C3" s="328" t="str">
        <f>C13</f>
        <v>UNIFORMES</v>
      </c>
      <c r="D3" s="323">
        <v>37.479999999999997</v>
      </c>
      <c r="E3" s="329" t="s">
        <v>631</v>
      </c>
    </row>
    <row r="4" spans="2:10" ht="16.5">
      <c r="C4" s="328" t="str">
        <f>C30</f>
        <v>EPIs</v>
      </c>
      <c r="D4" s="323">
        <v>26.8</v>
      </c>
      <c r="E4" s="329" t="s">
        <v>633</v>
      </c>
    </row>
    <row r="5" spans="2:10" ht="16.5">
      <c r="C5" s="328" t="str">
        <f>C44</f>
        <v>RELÓGIO PONTO</v>
      </c>
      <c r="D5" s="323">
        <v>2.39</v>
      </c>
      <c r="E5" s="329" t="s">
        <v>633</v>
      </c>
    </row>
    <row r="6" spans="2:10" ht="16.5">
      <c r="C6" s="328" t="str">
        <f>C53</f>
        <v>EQUIPAMENTOS</v>
      </c>
      <c r="D6" s="323">
        <v>50</v>
      </c>
      <c r="E6" s="329" t="s">
        <v>631</v>
      </c>
    </row>
    <row r="7" spans="2:10" ht="17.25" thickBot="1">
      <c r="C7" s="330" t="str">
        <f>C71</f>
        <v>MATERIAIS</v>
      </c>
      <c r="D7" s="324">
        <v>264.7</v>
      </c>
      <c r="E7" s="331" t="s">
        <v>631</v>
      </c>
    </row>
    <row r="8" spans="2:10" ht="15" thickTop="1">
      <c r="C8" s="332" t="s">
        <v>632</v>
      </c>
      <c r="D8" s="259"/>
      <c r="E8" s="321"/>
    </row>
    <row r="9" spans="2:10" ht="14.25">
      <c r="C9" s="333" t="s">
        <v>634</v>
      </c>
      <c r="D9" s="314"/>
      <c r="E9" s="315"/>
    </row>
    <row r="10" spans="2:10" ht="14.25">
      <c r="C10" s="257"/>
    </row>
    <row r="11" spans="2:10" ht="19.5">
      <c r="C11" s="322" t="s">
        <v>630</v>
      </c>
    </row>
    <row r="12" spans="2:10" ht="13.5" thickBot="1"/>
    <row r="13" spans="2:10" ht="27" thickTop="1">
      <c r="B13" s="285"/>
      <c r="C13" s="286" t="s">
        <v>559</v>
      </c>
      <c r="D13" s="287"/>
      <c r="E13" s="287"/>
      <c r="F13" s="287"/>
      <c r="G13" s="287"/>
      <c r="H13" s="287"/>
      <c r="I13" s="287"/>
      <c r="J13" s="288"/>
    </row>
    <row r="14" spans="2:10">
      <c r="B14" s="289"/>
      <c r="C14" s="259"/>
      <c r="D14" s="259"/>
      <c r="E14" s="259"/>
      <c r="F14" s="259"/>
      <c r="G14" s="259"/>
      <c r="H14" s="259"/>
      <c r="I14" s="259"/>
      <c r="J14" s="290"/>
    </row>
    <row r="15" spans="2:10" ht="25.5">
      <c r="B15" s="291" t="s">
        <v>560</v>
      </c>
      <c r="C15" s="292" t="s">
        <v>123</v>
      </c>
      <c r="D15" s="292" t="s">
        <v>561</v>
      </c>
      <c r="E15" s="292" t="s">
        <v>562</v>
      </c>
      <c r="F15" s="259"/>
      <c r="G15" s="259"/>
      <c r="H15" s="292" t="s">
        <v>587</v>
      </c>
      <c r="I15" s="259"/>
      <c r="J15" s="293" t="s">
        <v>563</v>
      </c>
    </row>
    <row r="16" spans="2:10">
      <c r="B16" s="294">
        <v>1</v>
      </c>
      <c r="C16" s="311" t="s">
        <v>572</v>
      </c>
      <c r="D16" s="312" t="s">
        <v>564</v>
      </c>
      <c r="E16" s="312">
        <v>4</v>
      </c>
      <c r="F16" s="259"/>
      <c r="G16" s="259"/>
      <c r="H16" s="297"/>
      <c r="I16" s="259"/>
      <c r="J16" s="298">
        <f t="shared" ref="J16:J24" si="0">H16*E16</f>
        <v>0</v>
      </c>
    </row>
    <row r="17" spans="2:10" ht="25.5">
      <c r="B17" s="294">
        <v>2</v>
      </c>
      <c r="C17" s="311" t="s">
        <v>573</v>
      </c>
      <c r="D17" s="312" t="s">
        <v>564</v>
      </c>
      <c r="E17" s="312">
        <v>2</v>
      </c>
      <c r="F17" s="259"/>
      <c r="G17" s="259"/>
      <c r="H17" s="297"/>
      <c r="I17" s="259"/>
      <c r="J17" s="298">
        <f t="shared" si="0"/>
        <v>0</v>
      </c>
    </row>
    <row r="18" spans="2:10" ht="25.5">
      <c r="B18" s="294">
        <v>3</v>
      </c>
      <c r="C18" s="311" t="s">
        <v>574</v>
      </c>
      <c r="D18" s="312" t="s">
        <v>564</v>
      </c>
      <c r="E18" s="312">
        <v>4</v>
      </c>
      <c r="F18" s="259"/>
      <c r="G18" s="259"/>
      <c r="H18" s="297"/>
      <c r="I18" s="259"/>
      <c r="J18" s="298">
        <f t="shared" si="0"/>
        <v>0</v>
      </c>
    </row>
    <row r="19" spans="2:10" ht="25.5">
      <c r="B19" s="294">
        <v>4</v>
      </c>
      <c r="C19" s="295" t="s">
        <v>565</v>
      </c>
      <c r="D19" s="296" t="s">
        <v>566</v>
      </c>
      <c r="E19" s="296">
        <v>1</v>
      </c>
      <c r="F19" s="259"/>
      <c r="G19" s="259"/>
      <c r="H19" s="297"/>
      <c r="I19" s="259"/>
      <c r="J19" s="298">
        <f t="shared" si="0"/>
        <v>0</v>
      </c>
    </row>
    <row r="20" spans="2:10">
      <c r="B20" s="294">
        <v>5</v>
      </c>
      <c r="C20" s="299" t="s">
        <v>567</v>
      </c>
      <c r="D20" s="296" t="s">
        <v>564</v>
      </c>
      <c r="E20" s="296">
        <v>1</v>
      </c>
      <c r="F20" s="259"/>
      <c r="G20" s="259"/>
      <c r="H20" s="297"/>
      <c r="I20" s="259"/>
      <c r="J20" s="298">
        <f t="shared" si="0"/>
        <v>0</v>
      </c>
    </row>
    <row r="21" spans="2:10">
      <c r="B21" s="294">
        <v>6</v>
      </c>
      <c r="C21" s="299" t="s">
        <v>568</v>
      </c>
      <c r="D21" s="296" t="s">
        <v>564</v>
      </c>
      <c r="E21" s="296">
        <v>2</v>
      </c>
      <c r="F21" s="259"/>
      <c r="G21" s="259"/>
      <c r="H21" s="297"/>
      <c r="I21" s="259"/>
      <c r="J21" s="298">
        <f t="shared" si="0"/>
        <v>0</v>
      </c>
    </row>
    <row r="22" spans="2:10" ht="25.5">
      <c r="B22" s="294">
        <v>7</v>
      </c>
      <c r="C22" s="311" t="s">
        <v>575</v>
      </c>
      <c r="D22" s="312" t="s">
        <v>566</v>
      </c>
      <c r="E22" s="312">
        <v>1</v>
      </c>
      <c r="F22" s="259"/>
      <c r="G22" s="259"/>
      <c r="H22" s="297"/>
      <c r="I22" s="259"/>
      <c r="J22" s="298">
        <f t="shared" si="0"/>
        <v>0</v>
      </c>
    </row>
    <row r="23" spans="2:10" ht="25.5">
      <c r="B23" s="294">
        <v>8</v>
      </c>
      <c r="C23" s="311" t="s">
        <v>576</v>
      </c>
      <c r="D23" s="312" t="s">
        <v>561</v>
      </c>
      <c r="E23" s="312">
        <v>1</v>
      </c>
      <c r="F23" s="259"/>
      <c r="G23" s="259"/>
      <c r="H23" s="297"/>
      <c r="I23" s="259"/>
      <c r="J23" s="298">
        <f t="shared" si="0"/>
        <v>0</v>
      </c>
    </row>
    <row r="24" spans="2:10" ht="38.25">
      <c r="B24" s="294">
        <v>9</v>
      </c>
      <c r="C24" s="311" t="s">
        <v>577</v>
      </c>
      <c r="D24" s="312" t="s">
        <v>561</v>
      </c>
      <c r="E24" s="312">
        <v>1</v>
      </c>
      <c r="F24" s="259"/>
      <c r="G24" s="259"/>
      <c r="H24" s="297"/>
      <c r="I24" s="259"/>
      <c r="J24" s="298">
        <f t="shared" si="0"/>
        <v>0</v>
      </c>
    </row>
    <row r="25" spans="2:10" ht="15">
      <c r="B25" s="316"/>
      <c r="C25" s="313"/>
      <c r="D25" s="313"/>
      <c r="E25" s="313"/>
      <c r="F25" s="259"/>
      <c r="G25" s="259"/>
      <c r="H25" s="259"/>
      <c r="I25" s="259"/>
      <c r="J25" s="301">
        <f>SUM(J16:J24)</f>
        <v>0</v>
      </c>
    </row>
    <row r="26" spans="2:10" ht="15">
      <c r="B26" s="316"/>
      <c r="C26" s="313"/>
      <c r="D26" s="313"/>
      <c r="E26" s="313"/>
      <c r="F26" s="259"/>
      <c r="G26" s="259"/>
      <c r="H26" s="302" t="s">
        <v>569</v>
      </c>
      <c r="I26" s="302"/>
      <c r="J26" s="303">
        <f>J25/12</f>
        <v>0</v>
      </c>
    </row>
    <row r="27" spans="2:10" ht="13.5" thickBot="1">
      <c r="B27" s="317"/>
      <c r="C27" s="304"/>
      <c r="D27" s="304"/>
      <c r="E27" s="304"/>
      <c r="F27" s="304"/>
      <c r="G27" s="304"/>
      <c r="H27" s="304"/>
      <c r="I27" s="304"/>
      <c r="J27" s="305"/>
    </row>
    <row r="28" spans="2:10" ht="13.5" thickTop="1">
      <c r="B28" s="259"/>
      <c r="C28" s="259"/>
      <c r="D28" s="259"/>
      <c r="E28" s="259"/>
      <c r="F28" s="259"/>
      <c r="G28" s="259"/>
      <c r="H28" s="259"/>
      <c r="I28" s="259"/>
      <c r="J28" s="259"/>
    </row>
    <row r="29" spans="2:10" ht="13.5" thickBot="1">
      <c r="D29" s="259"/>
      <c r="E29" s="259"/>
      <c r="F29" s="259"/>
      <c r="G29" s="259"/>
      <c r="H29" s="259"/>
      <c r="I29" s="259"/>
      <c r="J29" s="259"/>
    </row>
    <row r="30" spans="2:10" ht="27" thickTop="1">
      <c r="B30" s="285"/>
      <c r="C30" s="286" t="s">
        <v>584</v>
      </c>
      <c r="D30" s="287"/>
      <c r="E30" s="287"/>
      <c r="F30" s="287"/>
      <c r="G30" s="287"/>
      <c r="H30" s="287"/>
      <c r="I30" s="287"/>
      <c r="J30" s="288"/>
    </row>
    <row r="31" spans="2:10">
      <c r="B31" s="289"/>
      <c r="C31" s="259"/>
      <c r="D31" s="259"/>
      <c r="E31" s="259"/>
      <c r="F31" s="259"/>
      <c r="G31" s="259"/>
      <c r="H31" s="259"/>
      <c r="I31" s="259"/>
      <c r="J31" s="290"/>
    </row>
    <row r="32" spans="2:10" ht="25.5">
      <c r="B32" s="291" t="s">
        <v>560</v>
      </c>
      <c r="C32" s="292" t="s">
        <v>123</v>
      </c>
      <c r="D32" s="292" t="s">
        <v>561</v>
      </c>
      <c r="E32" s="292" t="s">
        <v>562</v>
      </c>
      <c r="F32" s="259"/>
      <c r="G32" s="259"/>
      <c r="H32" s="292" t="s">
        <v>587</v>
      </c>
      <c r="I32" s="259"/>
      <c r="J32" s="293" t="s">
        <v>563</v>
      </c>
    </row>
    <row r="33" spans="2:10" ht="25.5">
      <c r="B33" s="300">
        <v>1</v>
      </c>
      <c r="C33" s="311" t="s">
        <v>578</v>
      </c>
      <c r="D33" s="312" t="s">
        <v>561</v>
      </c>
      <c r="E33" s="312">
        <v>100</v>
      </c>
      <c r="F33" s="259"/>
      <c r="G33" s="259"/>
      <c r="H33" s="297"/>
      <c r="I33" s="259"/>
      <c r="J33" s="298">
        <f t="shared" ref="J33:J38" si="1">H33*E33</f>
        <v>0</v>
      </c>
    </row>
    <row r="34" spans="2:10">
      <c r="B34" s="294">
        <v>2</v>
      </c>
      <c r="C34" s="311" t="s">
        <v>579</v>
      </c>
      <c r="D34" s="312" t="s">
        <v>566</v>
      </c>
      <c r="E34" s="312">
        <v>6</v>
      </c>
      <c r="F34" s="259"/>
      <c r="G34" s="259"/>
      <c r="H34" s="297"/>
      <c r="I34" s="259"/>
      <c r="J34" s="298">
        <f t="shared" si="1"/>
        <v>0</v>
      </c>
    </row>
    <row r="35" spans="2:10">
      <c r="B35" s="294">
        <v>3</v>
      </c>
      <c r="C35" s="311" t="s">
        <v>580</v>
      </c>
      <c r="D35" s="312" t="s">
        <v>566</v>
      </c>
      <c r="E35" s="312">
        <v>6</v>
      </c>
      <c r="F35" s="259"/>
      <c r="G35" s="259"/>
      <c r="H35" s="297"/>
      <c r="I35" s="259"/>
      <c r="J35" s="298">
        <f t="shared" si="1"/>
        <v>0</v>
      </c>
    </row>
    <row r="36" spans="2:10" ht="38.25">
      <c r="B36" s="300">
        <v>4</v>
      </c>
      <c r="C36" s="295" t="s">
        <v>581</v>
      </c>
      <c r="D36" s="296" t="s">
        <v>561</v>
      </c>
      <c r="E36" s="296">
        <v>12</v>
      </c>
      <c r="F36" s="259"/>
      <c r="G36" s="259"/>
      <c r="H36" s="297"/>
      <c r="I36" s="259"/>
      <c r="J36" s="298">
        <f t="shared" si="1"/>
        <v>0</v>
      </c>
    </row>
    <row r="37" spans="2:10" ht="102">
      <c r="B37" s="300">
        <v>5</v>
      </c>
      <c r="C37" s="299" t="s">
        <v>582</v>
      </c>
      <c r="D37" s="296" t="s">
        <v>561</v>
      </c>
      <c r="E37" s="296">
        <v>6</v>
      </c>
      <c r="F37" s="259"/>
      <c r="G37" s="259"/>
      <c r="H37" s="297"/>
      <c r="I37" s="259"/>
      <c r="J37" s="298">
        <f t="shared" si="1"/>
        <v>0</v>
      </c>
    </row>
    <row r="38" spans="2:10" ht="38.25">
      <c r="B38" s="300">
        <v>6</v>
      </c>
      <c r="C38" s="299" t="s">
        <v>583</v>
      </c>
      <c r="D38" s="296" t="s">
        <v>561</v>
      </c>
      <c r="E38" s="296">
        <v>3</v>
      </c>
      <c r="F38" s="259"/>
      <c r="G38" s="259"/>
      <c r="H38" s="297"/>
      <c r="I38" s="259"/>
      <c r="J38" s="298">
        <f t="shared" si="1"/>
        <v>0</v>
      </c>
    </row>
    <row r="39" spans="2:10" ht="15">
      <c r="B39" s="289"/>
      <c r="C39" s="259"/>
      <c r="D39" s="259"/>
      <c r="E39" s="259"/>
      <c r="F39" s="259"/>
      <c r="G39" s="259"/>
      <c r="H39" s="259"/>
      <c r="I39" s="259"/>
      <c r="J39" s="301">
        <f>SUM(J33:J38)</f>
        <v>0</v>
      </c>
    </row>
    <row r="40" spans="2:10" ht="15">
      <c r="B40" s="289"/>
      <c r="C40" s="259"/>
      <c r="D40" s="259"/>
      <c r="E40" s="259"/>
      <c r="F40" s="259"/>
      <c r="G40" s="259"/>
      <c r="H40" s="302" t="s">
        <v>569</v>
      </c>
      <c r="I40" s="302"/>
      <c r="J40" s="303">
        <f>J39/12</f>
        <v>0</v>
      </c>
    </row>
    <row r="41" spans="2:10" ht="13.5" thickBot="1">
      <c r="B41" s="317"/>
      <c r="C41" s="304"/>
      <c r="D41" s="304"/>
      <c r="E41" s="304"/>
      <c r="F41" s="304"/>
      <c r="G41" s="304"/>
      <c r="H41" s="304"/>
      <c r="I41" s="304"/>
      <c r="J41" s="305"/>
    </row>
    <row r="42" spans="2:10" ht="13.5" thickTop="1">
      <c r="D42" s="259"/>
      <c r="E42" s="259"/>
      <c r="F42" s="259"/>
      <c r="G42" s="259"/>
      <c r="H42" s="259"/>
      <c r="I42" s="259"/>
      <c r="J42" s="259"/>
    </row>
    <row r="43" spans="2:10" ht="13.5" thickBot="1"/>
    <row r="44" spans="2:10" ht="27" thickTop="1">
      <c r="B44" s="285"/>
      <c r="C44" s="286" t="s">
        <v>570</v>
      </c>
      <c r="D44" s="287"/>
      <c r="E44" s="287"/>
      <c r="F44" s="287"/>
      <c r="G44" s="287"/>
      <c r="H44" s="287"/>
      <c r="I44" s="287"/>
      <c r="J44" s="288"/>
    </row>
    <row r="45" spans="2:10" ht="13.5" thickBot="1">
      <c r="B45" s="289"/>
      <c r="C45" s="259"/>
      <c r="D45" s="259"/>
      <c r="E45" s="259"/>
      <c r="F45" s="259"/>
      <c r="G45" s="259"/>
      <c r="H45" s="259"/>
      <c r="I45" s="259"/>
      <c r="J45" s="290"/>
    </row>
    <row r="46" spans="2:10" ht="13.5" thickBot="1">
      <c r="B46" s="306" t="s">
        <v>560</v>
      </c>
      <c r="C46" s="307" t="s">
        <v>123</v>
      </c>
      <c r="D46" s="307" t="s">
        <v>561</v>
      </c>
      <c r="E46" s="307" t="s">
        <v>571</v>
      </c>
      <c r="F46" s="259"/>
      <c r="G46" s="259"/>
      <c r="H46" s="292" t="s">
        <v>587</v>
      </c>
      <c r="I46" s="259"/>
      <c r="J46" s="293" t="s">
        <v>563</v>
      </c>
    </row>
    <row r="47" spans="2:10" ht="39" thickBot="1">
      <c r="B47" s="308">
        <v>1</v>
      </c>
      <c r="C47" s="309" t="s">
        <v>637</v>
      </c>
      <c r="D47" s="310" t="s">
        <v>561</v>
      </c>
      <c r="E47" s="310">
        <v>1</v>
      </c>
      <c r="F47" s="259"/>
      <c r="G47" s="259"/>
      <c r="H47" s="297"/>
      <c r="I47" s="259"/>
      <c r="J47" s="298">
        <f>H47*E47</f>
        <v>0</v>
      </c>
    </row>
    <row r="48" spans="2:10" ht="15">
      <c r="B48" s="289"/>
      <c r="C48" s="259"/>
      <c r="D48" s="259"/>
      <c r="E48" s="259"/>
      <c r="F48" s="259"/>
      <c r="G48" s="259"/>
      <c r="H48" s="302" t="s">
        <v>569</v>
      </c>
      <c r="I48" s="302"/>
      <c r="J48" s="303">
        <f>J47/60/3</f>
        <v>0</v>
      </c>
    </row>
    <row r="49" spans="2:10">
      <c r="B49" s="289"/>
      <c r="C49" s="259"/>
      <c r="D49" s="259"/>
      <c r="E49" s="259"/>
      <c r="F49" s="259"/>
      <c r="G49" s="259"/>
      <c r="H49" s="259"/>
      <c r="I49" s="259"/>
      <c r="J49" s="290"/>
    </row>
    <row r="50" spans="2:10" ht="13.5" thickBot="1">
      <c r="B50" s="317"/>
      <c r="C50" s="304"/>
      <c r="D50" s="304"/>
      <c r="E50" s="304"/>
      <c r="F50" s="304"/>
      <c r="G50" s="304"/>
      <c r="H50" s="304"/>
      <c r="I50" s="304"/>
      <c r="J50" s="305"/>
    </row>
    <row r="51" spans="2:10" ht="13.5" thickTop="1">
      <c r="D51" s="259"/>
    </row>
    <row r="52" spans="2:10" ht="13.5" thickBot="1">
      <c r="D52" s="259"/>
    </row>
    <row r="53" spans="2:10" ht="27" thickTop="1">
      <c r="B53" s="285"/>
      <c r="C53" s="286" t="s">
        <v>586</v>
      </c>
      <c r="D53" s="287"/>
      <c r="E53" s="287"/>
      <c r="F53" s="287"/>
      <c r="G53" s="287"/>
      <c r="H53" s="287"/>
      <c r="I53" s="287"/>
      <c r="J53" s="288"/>
    </row>
    <row r="54" spans="2:10">
      <c r="B54" s="289"/>
      <c r="C54" s="259"/>
      <c r="D54" s="259"/>
      <c r="E54" s="259"/>
      <c r="F54" s="259"/>
      <c r="G54" s="259"/>
      <c r="H54" s="259"/>
      <c r="I54" s="259"/>
      <c r="J54" s="290"/>
    </row>
    <row r="55" spans="2:10" ht="25.5">
      <c r="B55" s="291" t="s">
        <v>560</v>
      </c>
      <c r="C55" s="292" t="s">
        <v>123</v>
      </c>
      <c r="D55" s="292" t="s">
        <v>561</v>
      </c>
      <c r="E55" s="292" t="s">
        <v>562</v>
      </c>
      <c r="F55" s="259"/>
      <c r="G55" s="259"/>
      <c r="H55" s="292" t="s">
        <v>587</v>
      </c>
      <c r="I55" s="259"/>
      <c r="J55" s="293" t="s">
        <v>563</v>
      </c>
    </row>
    <row r="56" spans="2:10">
      <c r="B56" s="300">
        <v>1</v>
      </c>
      <c r="C56" s="311" t="s">
        <v>618</v>
      </c>
      <c r="D56" s="312" t="s">
        <v>628</v>
      </c>
      <c r="E56" s="312"/>
      <c r="F56" s="259"/>
      <c r="G56" s="259"/>
      <c r="H56" s="297"/>
      <c r="I56" s="259"/>
      <c r="J56" s="298">
        <f>H56*E56</f>
        <v>0</v>
      </c>
    </row>
    <row r="57" spans="2:10">
      <c r="B57" s="300">
        <v>2</v>
      </c>
      <c r="C57" s="311" t="s">
        <v>619</v>
      </c>
      <c r="D57" s="312" t="s">
        <v>628</v>
      </c>
      <c r="E57" s="312"/>
      <c r="F57" s="259"/>
      <c r="G57" s="259"/>
      <c r="H57" s="297"/>
      <c r="I57" s="259"/>
      <c r="J57" s="298">
        <f t="shared" ref="J57:J65" si="2">H57*E57</f>
        <v>0</v>
      </c>
    </row>
    <row r="58" spans="2:10">
      <c r="B58" s="300">
        <v>3</v>
      </c>
      <c r="C58" s="311" t="s">
        <v>620</v>
      </c>
      <c r="D58" s="312" t="s">
        <v>628</v>
      </c>
      <c r="E58" s="312"/>
      <c r="F58" s="259"/>
      <c r="G58" s="259"/>
      <c r="H58" s="297"/>
      <c r="I58" s="259"/>
      <c r="J58" s="298">
        <f t="shared" si="2"/>
        <v>0</v>
      </c>
    </row>
    <row r="59" spans="2:10">
      <c r="B59" s="300">
        <v>4</v>
      </c>
      <c r="C59" s="311" t="s">
        <v>621</v>
      </c>
      <c r="D59" s="312" t="s">
        <v>628</v>
      </c>
      <c r="E59" s="312"/>
      <c r="F59" s="259"/>
      <c r="G59" s="259"/>
      <c r="H59" s="297"/>
      <c r="I59" s="259"/>
      <c r="J59" s="298">
        <f t="shared" si="2"/>
        <v>0</v>
      </c>
    </row>
    <row r="60" spans="2:10">
      <c r="B60" s="300">
        <v>5</v>
      </c>
      <c r="C60" s="311" t="s">
        <v>622</v>
      </c>
      <c r="D60" s="312" t="s">
        <v>628</v>
      </c>
      <c r="E60" s="312"/>
      <c r="F60" s="259"/>
      <c r="G60" s="259"/>
      <c r="H60" s="297"/>
      <c r="I60" s="259"/>
      <c r="J60" s="298">
        <f t="shared" si="2"/>
        <v>0</v>
      </c>
    </row>
    <row r="61" spans="2:10">
      <c r="B61" s="300">
        <v>6</v>
      </c>
      <c r="C61" s="311" t="s">
        <v>623</v>
      </c>
      <c r="D61" s="312" t="s">
        <v>628</v>
      </c>
      <c r="E61" s="312"/>
      <c r="F61" s="259"/>
      <c r="G61" s="259"/>
      <c r="H61" s="297"/>
      <c r="I61" s="259"/>
      <c r="J61" s="298">
        <f t="shared" si="2"/>
        <v>0</v>
      </c>
    </row>
    <row r="62" spans="2:10">
      <c r="B62" s="300">
        <v>7</v>
      </c>
      <c r="C62" s="311" t="s">
        <v>624</v>
      </c>
      <c r="D62" s="312" t="s">
        <v>628</v>
      </c>
      <c r="E62" s="312"/>
      <c r="F62" s="259"/>
      <c r="G62" s="259"/>
      <c r="H62" s="297"/>
      <c r="I62" s="259"/>
      <c r="J62" s="298">
        <f t="shared" si="2"/>
        <v>0</v>
      </c>
    </row>
    <row r="63" spans="2:10">
      <c r="B63" s="300">
        <v>8</v>
      </c>
      <c r="C63" s="311" t="s">
        <v>625</v>
      </c>
      <c r="D63" s="312" t="s">
        <v>628</v>
      </c>
      <c r="E63" s="312"/>
      <c r="F63" s="259"/>
      <c r="G63" s="259"/>
      <c r="H63" s="297"/>
      <c r="I63" s="259"/>
      <c r="J63" s="298">
        <f t="shared" si="2"/>
        <v>0</v>
      </c>
    </row>
    <row r="64" spans="2:10">
      <c r="B64" s="300">
        <v>9</v>
      </c>
      <c r="C64" s="311" t="s">
        <v>626</v>
      </c>
      <c r="D64" s="312" t="s">
        <v>628</v>
      </c>
      <c r="E64" s="312"/>
      <c r="F64" s="259"/>
      <c r="G64" s="259"/>
      <c r="H64" s="297"/>
      <c r="I64" s="259"/>
      <c r="J64" s="298">
        <f t="shared" si="2"/>
        <v>0</v>
      </c>
    </row>
    <row r="65" spans="2:10" ht="25.5">
      <c r="B65" s="300">
        <v>10</v>
      </c>
      <c r="C65" s="311" t="s">
        <v>627</v>
      </c>
      <c r="D65" s="312" t="s">
        <v>628</v>
      </c>
      <c r="E65" s="312"/>
      <c r="F65" s="259"/>
      <c r="G65" s="259"/>
      <c r="H65" s="297"/>
      <c r="I65" s="259"/>
      <c r="J65" s="298">
        <f t="shared" si="2"/>
        <v>0</v>
      </c>
    </row>
    <row r="66" spans="2:10" ht="15">
      <c r="B66" s="289"/>
      <c r="C66" s="259"/>
      <c r="D66" s="259"/>
      <c r="E66" s="259"/>
      <c r="F66" s="259"/>
      <c r="G66" s="259"/>
      <c r="H66" s="259"/>
      <c r="I66" s="259"/>
      <c r="J66" s="301">
        <f>SUM(J56:J65)</f>
        <v>0</v>
      </c>
    </row>
    <row r="67" spans="2:10" ht="15">
      <c r="B67" s="289"/>
      <c r="C67" s="259"/>
      <c r="D67" s="259"/>
      <c r="E67" s="259"/>
      <c r="F67" s="259"/>
      <c r="G67" s="259"/>
      <c r="H67" s="302" t="s">
        <v>569</v>
      </c>
      <c r="I67" s="302"/>
      <c r="J67" s="303">
        <f>J66/12</f>
        <v>0</v>
      </c>
    </row>
    <row r="68" spans="2:10" ht="13.5" thickBot="1">
      <c r="B68" s="317"/>
      <c r="C68" s="304"/>
      <c r="D68" s="304"/>
      <c r="E68" s="304"/>
      <c r="F68" s="304"/>
      <c r="G68" s="304"/>
      <c r="H68" s="304"/>
      <c r="I68" s="304"/>
      <c r="J68" s="305"/>
    </row>
    <row r="69" spans="2:10" ht="13.5" thickTop="1">
      <c r="D69" s="259"/>
    </row>
    <row r="70" spans="2:10" ht="13.5" thickBot="1">
      <c r="D70" s="259"/>
    </row>
    <row r="71" spans="2:10" ht="27" thickTop="1">
      <c r="B71" s="285"/>
      <c r="C71" s="286" t="s">
        <v>585</v>
      </c>
      <c r="D71" s="287"/>
      <c r="E71" s="287"/>
      <c r="F71" s="287"/>
      <c r="G71" s="287"/>
      <c r="H71" s="287"/>
      <c r="I71" s="287"/>
      <c r="J71" s="288"/>
    </row>
    <row r="72" spans="2:10">
      <c r="B72" s="289"/>
      <c r="C72" s="259"/>
      <c r="D72" s="259"/>
      <c r="E72" s="259"/>
      <c r="F72" s="259"/>
      <c r="G72" s="259"/>
      <c r="H72" s="259"/>
      <c r="I72" s="259"/>
      <c r="J72" s="290"/>
    </row>
    <row r="73" spans="2:10" ht="25.5">
      <c r="B73" s="318" t="s">
        <v>560</v>
      </c>
      <c r="C73" s="319" t="s">
        <v>123</v>
      </c>
      <c r="D73" s="319" t="s">
        <v>561</v>
      </c>
      <c r="E73" s="319" t="s">
        <v>616</v>
      </c>
      <c r="F73" s="259"/>
      <c r="G73" s="259"/>
      <c r="H73" s="319" t="s">
        <v>587</v>
      </c>
      <c r="I73" s="259"/>
      <c r="J73" s="320" t="s">
        <v>617</v>
      </c>
    </row>
    <row r="74" spans="2:10">
      <c r="B74" s="300">
        <v>1</v>
      </c>
      <c r="C74" s="311" t="s">
        <v>588</v>
      </c>
      <c r="D74" s="312" t="s">
        <v>589</v>
      </c>
      <c r="E74" s="312"/>
      <c r="F74" s="259"/>
      <c r="G74" s="259"/>
      <c r="H74" s="297"/>
      <c r="I74" s="259"/>
      <c r="J74" s="298">
        <f>H74*E74</f>
        <v>0</v>
      </c>
    </row>
    <row r="75" spans="2:10">
      <c r="B75" s="300">
        <v>2</v>
      </c>
      <c r="C75" s="311" t="s">
        <v>590</v>
      </c>
      <c r="D75" s="312" t="s">
        <v>591</v>
      </c>
      <c r="E75" s="312"/>
      <c r="F75" s="259"/>
      <c r="G75" s="259"/>
      <c r="H75" s="297"/>
      <c r="I75" s="259"/>
      <c r="J75" s="298">
        <f>H75*E75</f>
        <v>0</v>
      </c>
    </row>
    <row r="76" spans="2:10">
      <c r="B76" s="300">
        <v>3</v>
      </c>
      <c r="C76" s="311" t="s">
        <v>592</v>
      </c>
      <c r="D76" s="312" t="s">
        <v>591</v>
      </c>
      <c r="E76" s="312"/>
      <c r="F76" s="259"/>
      <c r="G76" s="259"/>
      <c r="H76" s="297"/>
      <c r="I76" s="259"/>
      <c r="J76" s="298">
        <f t="shared" ref="J76:J95" si="3">H76*E76</f>
        <v>0</v>
      </c>
    </row>
    <row r="77" spans="2:10">
      <c r="B77" s="300">
        <v>4</v>
      </c>
      <c r="C77" s="311" t="s">
        <v>593</v>
      </c>
      <c r="D77" s="312" t="s">
        <v>591</v>
      </c>
      <c r="E77" s="312"/>
      <c r="F77" s="259"/>
      <c r="G77" s="259"/>
      <c r="H77" s="297"/>
      <c r="I77" s="259"/>
      <c r="J77" s="298">
        <f t="shared" si="3"/>
        <v>0</v>
      </c>
    </row>
    <row r="78" spans="2:10">
      <c r="B78" s="300">
        <v>5</v>
      </c>
      <c r="C78" s="311" t="s">
        <v>594</v>
      </c>
      <c r="D78" s="312" t="s">
        <v>561</v>
      </c>
      <c r="E78" s="312"/>
      <c r="F78" s="259"/>
      <c r="G78" s="259"/>
      <c r="H78" s="297"/>
      <c r="I78" s="259"/>
      <c r="J78" s="298">
        <f t="shared" si="3"/>
        <v>0</v>
      </c>
    </row>
    <row r="79" spans="2:10">
      <c r="B79" s="300">
        <v>6</v>
      </c>
      <c r="C79" s="311" t="s">
        <v>595</v>
      </c>
      <c r="D79" s="312" t="s">
        <v>591</v>
      </c>
      <c r="E79" s="312"/>
      <c r="F79" s="259"/>
      <c r="G79" s="259"/>
      <c r="H79" s="297"/>
      <c r="I79" s="259"/>
      <c r="J79" s="298">
        <f t="shared" si="3"/>
        <v>0</v>
      </c>
    </row>
    <row r="80" spans="2:10">
      <c r="B80" s="300">
        <v>7</v>
      </c>
      <c r="C80" s="311" t="s">
        <v>596</v>
      </c>
      <c r="D80" s="312" t="s">
        <v>591</v>
      </c>
      <c r="E80" s="312"/>
      <c r="F80" s="259"/>
      <c r="G80" s="259"/>
      <c r="H80" s="297"/>
      <c r="I80" s="259"/>
      <c r="J80" s="298">
        <f t="shared" si="3"/>
        <v>0</v>
      </c>
    </row>
    <row r="81" spans="2:10">
      <c r="B81" s="300">
        <v>8</v>
      </c>
      <c r="C81" s="311" t="s">
        <v>597</v>
      </c>
      <c r="D81" s="312" t="s">
        <v>561</v>
      </c>
      <c r="E81" s="312"/>
      <c r="F81" s="259"/>
      <c r="G81" s="259"/>
      <c r="H81" s="297"/>
      <c r="I81" s="259"/>
      <c r="J81" s="298">
        <f t="shared" si="3"/>
        <v>0</v>
      </c>
    </row>
    <row r="82" spans="2:10">
      <c r="B82" s="300">
        <v>9</v>
      </c>
      <c r="C82" s="311" t="s">
        <v>598</v>
      </c>
      <c r="D82" s="312" t="s">
        <v>561</v>
      </c>
      <c r="E82" s="312"/>
      <c r="F82" s="259"/>
      <c r="G82" s="259"/>
      <c r="H82" s="297"/>
      <c r="I82" s="259"/>
      <c r="J82" s="298">
        <f t="shared" si="3"/>
        <v>0</v>
      </c>
    </row>
    <row r="83" spans="2:10">
      <c r="B83" s="300">
        <v>10</v>
      </c>
      <c r="C83" s="311" t="s">
        <v>599</v>
      </c>
      <c r="D83" s="312" t="s">
        <v>600</v>
      </c>
      <c r="E83" s="312"/>
      <c r="F83" s="259"/>
      <c r="G83" s="259"/>
      <c r="H83" s="297"/>
      <c r="I83" s="259"/>
      <c r="J83" s="298">
        <f t="shared" si="3"/>
        <v>0</v>
      </c>
    </row>
    <row r="84" spans="2:10">
      <c r="B84" s="300">
        <v>11</v>
      </c>
      <c r="C84" s="311" t="s">
        <v>601</v>
      </c>
      <c r="D84" s="312" t="s">
        <v>600</v>
      </c>
      <c r="E84" s="312"/>
      <c r="F84" s="259"/>
      <c r="G84" s="259"/>
      <c r="H84" s="297"/>
      <c r="I84" s="259"/>
      <c r="J84" s="298">
        <f t="shared" si="3"/>
        <v>0</v>
      </c>
    </row>
    <row r="85" spans="2:10">
      <c r="B85" s="300">
        <v>12</v>
      </c>
      <c r="C85" s="311" t="s">
        <v>602</v>
      </c>
      <c r="D85" s="312" t="s">
        <v>603</v>
      </c>
      <c r="E85" s="312"/>
      <c r="F85" s="259"/>
      <c r="G85" s="259"/>
      <c r="H85" s="297"/>
      <c r="I85" s="259"/>
      <c r="J85" s="298">
        <f t="shared" si="3"/>
        <v>0</v>
      </c>
    </row>
    <row r="86" spans="2:10">
      <c r="B86" s="300">
        <v>13</v>
      </c>
      <c r="C86" s="311" t="s">
        <v>604</v>
      </c>
      <c r="D86" s="312" t="s">
        <v>605</v>
      </c>
      <c r="E86" s="312"/>
      <c r="F86" s="259"/>
      <c r="G86" s="259"/>
      <c r="H86" s="297"/>
      <c r="I86" s="259"/>
      <c r="J86" s="298">
        <f t="shared" si="3"/>
        <v>0</v>
      </c>
    </row>
    <row r="87" spans="2:10">
      <c r="B87" s="300">
        <v>14</v>
      </c>
      <c r="C87" s="311" t="s">
        <v>606</v>
      </c>
      <c r="D87" s="312" t="s">
        <v>607</v>
      </c>
      <c r="E87" s="312"/>
      <c r="F87" s="259"/>
      <c r="G87" s="259"/>
      <c r="H87" s="297"/>
      <c r="I87" s="259"/>
      <c r="J87" s="298">
        <f t="shared" si="3"/>
        <v>0</v>
      </c>
    </row>
    <row r="88" spans="2:10">
      <c r="B88" s="300">
        <v>15</v>
      </c>
      <c r="C88" s="311" t="s">
        <v>608</v>
      </c>
      <c r="D88" s="312" t="s">
        <v>607</v>
      </c>
      <c r="E88" s="312"/>
      <c r="F88" s="259"/>
      <c r="G88" s="259"/>
      <c r="H88" s="297"/>
      <c r="I88" s="259"/>
      <c r="J88" s="298">
        <f t="shared" si="3"/>
        <v>0</v>
      </c>
    </row>
    <row r="89" spans="2:10">
      <c r="B89" s="300">
        <v>16</v>
      </c>
      <c r="C89" s="311" t="s">
        <v>609</v>
      </c>
      <c r="D89" s="312" t="s">
        <v>607</v>
      </c>
      <c r="E89" s="312"/>
      <c r="F89" s="259"/>
      <c r="G89" s="259"/>
      <c r="H89" s="297"/>
      <c r="I89" s="259"/>
      <c r="J89" s="298">
        <f t="shared" si="3"/>
        <v>0</v>
      </c>
    </row>
    <row r="90" spans="2:10">
      <c r="B90" s="300">
        <v>17</v>
      </c>
      <c r="C90" s="311" t="s">
        <v>610</v>
      </c>
      <c r="D90" s="312" t="s">
        <v>561</v>
      </c>
      <c r="E90" s="312"/>
      <c r="F90" s="259"/>
      <c r="G90" s="259"/>
      <c r="H90" s="297"/>
      <c r="I90" s="259"/>
      <c r="J90" s="298">
        <f t="shared" si="3"/>
        <v>0</v>
      </c>
    </row>
    <row r="91" spans="2:10">
      <c r="B91" s="300">
        <v>18</v>
      </c>
      <c r="C91" s="311" t="s">
        <v>611</v>
      </c>
      <c r="D91" s="312" t="s">
        <v>561</v>
      </c>
      <c r="E91" s="312"/>
      <c r="F91" s="259"/>
      <c r="G91" s="259"/>
      <c r="H91" s="297"/>
      <c r="I91" s="259"/>
      <c r="J91" s="298">
        <f t="shared" si="3"/>
        <v>0</v>
      </c>
    </row>
    <row r="92" spans="2:10">
      <c r="B92" s="300">
        <v>19</v>
      </c>
      <c r="C92" s="311" t="s">
        <v>612</v>
      </c>
      <c r="D92" s="312" t="s">
        <v>561</v>
      </c>
      <c r="E92" s="312"/>
      <c r="F92" s="259"/>
      <c r="G92" s="259"/>
      <c r="H92" s="297"/>
      <c r="I92" s="259"/>
      <c r="J92" s="298">
        <f t="shared" si="3"/>
        <v>0</v>
      </c>
    </row>
    <row r="93" spans="2:10">
      <c r="B93" s="300">
        <v>20</v>
      </c>
      <c r="C93" s="311" t="s">
        <v>613</v>
      </c>
      <c r="D93" s="312" t="s">
        <v>561</v>
      </c>
      <c r="E93" s="312"/>
      <c r="F93" s="259"/>
      <c r="G93" s="259"/>
      <c r="H93" s="297"/>
      <c r="I93" s="259"/>
      <c r="J93" s="298">
        <f t="shared" si="3"/>
        <v>0</v>
      </c>
    </row>
    <row r="94" spans="2:10">
      <c r="B94" s="300">
        <v>21</v>
      </c>
      <c r="C94" s="311" t="s">
        <v>614</v>
      </c>
      <c r="D94" s="312" t="s">
        <v>561</v>
      </c>
      <c r="E94" s="312"/>
      <c r="F94" s="259"/>
      <c r="G94" s="259"/>
      <c r="H94" s="297"/>
      <c r="I94" s="259"/>
      <c r="J94" s="298">
        <f t="shared" si="3"/>
        <v>0</v>
      </c>
    </row>
    <row r="95" spans="2:10">
      <c r="B95" s="300">
        <v>22</v>
      </c>
      <c r="C95" s="311" t="s">
        <v>615</v>
      </c>
      <c r="D95" s="312" t="s">
        <v>561</v>
      </c>
      <c r="E95" s="312"/>
      <c r="F95" s="259"/>
      <c r="G95" s="259"/>
      <c r="H95" s="297"/>
      <c r="I95" s="259"/>
      <c r="J95" s="298">
        <f t="shared" si="3"/>
        <v>0</v>
      </c>
    </row>
    <row r="96" spans="2:10">
      <c r="B96" s="289"/>
      <c r="C96" s="259"/>
      <c r="D96" s="259"/>
      <c r="E96" s="259"/>
      <c r="F96" s="259"/>
      <c r="G96" s="259"/>
      <c r="J96" s="290"/>
    </row>
    <row r="97" spans="2:10" ht="15">
      <c r="B97" s="289"/>
      <c r="C97" s="259"/>
      <c r="D97" s="259"/>
      <c r="E97" s="259"/>
      <c r="F97" s="259"/>
      <c r="G97" s="259"/>
      <c r="H97" s="302" t="s">
        <v>569</v>
      </c>
      <c r="I97" s="302"/>
      <c r="J97" s="303">
        <f>SUM(J74:J95)</f>
        <v>0</v>
      </c>
    </row>
    <row r="98" spans="2:10" ht="13.5" thickBot="1">
      <c r="B98" s="317"/>
      <c r="C98" s="304"/>
      <c r="D98" s="304"/>
      <c r="E98" s="304"/>
      <c r="F98" s="304"/>
      <c r="G98" s="304"/>
      <c r="H98" s="304"/>
      <c r="I98" s="304"/>
      <c r="J98" s="305"/>
    </row>
    <row r="99" spans="2:10" ht="13.5" thickTop="1">
      <c r="D99" s="259"/>
    </row>
    <row r="100" spans="2:10">
      <c r="D100" s="259"/>
    </row>
  </sheetData>
  <pageMargins left="0.511811024" right="0.511811024" top="0.78740157499999996" bottom="0.78740157499999996" header="0.31496062000000002" footer="0.31496062000000002"/>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2:IV351"/>
  <sheetViews>
    <sheetView view="pageBreakPreview" topLeftCell="A69" zoomScale="120" zoomScaleNormal="100" zoomScaleSheetLayoutView="120" workbookViewId="0">
      <selection activeCell="D286" sqref="D286:E286"/>
    </sheetView>
  </sheetViews>
  <sheetFormatPr defaultRowHeight="12"/>
  <cols>
    <col min="1" max="1" width="15.28515625" style="1" customWidth="1"/>
    <col min="2" max="2" width="11.140625" style="1" customWidth="1"/>
    <col min="3" max="3" width="13.28515625" style="1" customWidth="1"/>
    <col min="4" max="4" width="10.140625" style="1" customWidth="1"/>
    <col min="5" max="5" width="12.42578125" style="1" bestFit="1" customWidth="1"/>
    <col min="6" max="6" width="11.28515625" style="1" bestFit="1" customWidth="1"/>
    <col min="7" max="7" width="9.85546875" style="1" customWidth="1"/>
    <col min="8" max="8" width="12.42578125" style="1" customWidth="1"/>
    <col min="9" max="9" width="14.5703125" style="46" customWidth="1"/>
    <col min="10" max="10" width="10.7109375" style="1" customWidth="1"/>
    <col min="11" max="11" width="11.140625" style="1" customWidth="1"/>
    <col min="12" max="12" width="7.42578125" style="1" customWidth="1"/>
    <col min="13" max="13" width="6.5703125" style="1" customWidth="1"/>
    <col min="14" max="15" width="9.28515625" style="1" bestFit="1" customWidth="1"/>
    <col min="16" max="16384" width="9.140625" style="1"/>
  </cols>
  <sheetData>
    <row r="2" spans="1:9" ht="23.25">
      <c r="A2" s="483" t="s">
        <v>100</v>
      </c>
      <c r="B2" s="483"/>
      <c r="C2" s="483"/>
      <c r="D2" s="483"/>
      <c r="E2" s="483"/>
      <c r="F2" s="483"/>
      <c r="G2" s="483"/>
      <c r="H2" s="483"/>
      <c r="I2" s="484"/>
    </row>
    <row r="3" spans="1:9" ht="66" customHeight="1">
      <c r="A3" s="846" t="s">
        <v>393</v>
      </c>
      <c r="B3" s="489"/>
      <c r="C3" s="489"/>
      <c r="D3" s="489"/>
      <c r="E3" s="489"/>
      <c r="F3" s="489"/>
      <c r="G3" s="489"/>
      <c r="H3" s="489"/>
      <c r="I3" s="490"/>
    </row>
    <row r="4" spans="1:9" ht="15.75" customHeight="1">
      <c r="A4" s="532" t="s">
        <v>296</v>
      </c>
      <c r="B4" s="533"/>
      <c r="C4" s="533"/>
      <c r="D4" s="533"/>
      <c r="E4" s="629"/>
      <c r="F4" s="614" t="s">
        <v>39</v>
      </c>
      <c r="G4" s="615"/>
      <c r="H4" s="615"/>
      <c r="I4" s="616"/>
    </row>
    <row r="5" spans="1:9" ht="15.75" customHeight="1">
      <c r="A5" s="532" t="s">
        <v>297</v>
      </c>
      <c r="B5" s="533"/>
      <c r="C5" s="533"/>
      <c r="D5" s="533"/>
      <c r="E5" s="629"/>
      <c r="F5" s="614" t="s">
        <v>41</v>
      </c>
      <c r="G5" s="615"/>
      <c r="H5" s="615"/>
      <c r="I5" s="616"/>
    </row>
    <row r="6" spans="1:9" ht="21.75" customHeight="1">
      <c r="A6" s="507" t="s">
        <v>40</v>
      </c>
      <c r="B6" s="714"/>
      <c r="C6" s="714"/>
      <c r="D6" s="714"/>
      <c r="E6" s="714"/>
      <c r="F6" s="714"/>
      <c r="G6" s="714"/>
      <c r="H6" s="714"/>
      <c r="I6" s="714"/>
    </row>
    <row r="7" spans="1:9" ht="20.25" customHeight="1">
      <c r="A7" s="528" t="s">
        <v>258</v>
      </c>
      <c r="B7" s="715"/>
      <c r="C7" s="715"/>
      <c r="D7" s="715"/>
      <c r="E7" s="715"/>
      <c r="F7" s="715"/>
      <c r="G7" s="715"/>
      <c r="H7" s="715"/>
      <c r="I7" s="636"/>
    </row>
    <row r="8" spans="1:9" ht="15.75" customHeight="1">
      <c r="A8" s="84" t="s">
        <v>259</v>
      </c>
      <c r="B8" s="507" t="s">
        <v>260</v>
      </c>
      <c r="C8" s="714"/>
      <c r="D8" s="714"/>
      <c r="E8" s="714"/>
      <c r="F8" s="714"/>
      <c r="G8" s="714"/>
      <c r="H8" s="716">
        <v>42368</v>
      </c>
      <c r="I8" s="616"/>
    </row>
    <row r="9" spans="1:9" ht="15.75" customHeight="1">
      <c r="A9" s="84" t="s">
        <v>261</v>
      </c>
      <c r="B9" s="507" t="s">
        <v>262</v>
      </c>
      <c r="C9" s="714"/>
      <c r="D9" s="714"/>
      <c r="E9" s="714"/>
      <c r="F9" s="714"/>
      <c r="G9" s="714"/>
      <c r="H9" s="719" t="s">
        <v>228</v>
      </c>
      <c r="I9" s="719"/>
    </row>
    <row r="10" spans="1:9" ht="37.5" customHeight="1">
      <c r="A10" s="84" t="s">
        <v>263</v>
      </c>
      <c r="B10" s="532" t="s">
        <v>352</v>
      </c>
      <c r="C10" s="653"/>
      <c r="D10" s="653"/>
      <c r="E10" s="653"/>
      <c r="F10" s="653"/>
      <c r="G10" s="654"/>
      <c r="H10" s="614" t="s">
        <v>42</v>
      </c>
      <c r="I10" s="616"/>
    </row>
    <row r="11" spans="1:9" ht="15.75" customHeight="1">
      <c r="A11" s="84" t="s">
        <v>264</v>
      </c>
      <c r="B11" s="532" t="s">
        <v>265</v>
      </c>
      <c r="C11" s="653"/>
      <c r="D11" s="653"/>
      <c r="E11" s="653"/>
      <c r="F11" s="653"/>
      <c r="G11" s="654"/>
      <c r="H11" s="614">
        <v>12</v>
      </c>
      <c r="I11" s="616"/>
    </row>
    <row r="12" spans="1:9" ht="27.75" customHeight="1">
      <c r="A12" s="501" t="s">
        <v>266</v>
      </c>
      <c r="B12" s="502"/>
      <c r="C12" s="502"/>
      <c r="D12" s="502"/>
      <c r="E12" s="502"/>
      <c r="F12" s="502"/>
      <c r="G12" s="502"/>
      <c r="H12" s="502"/>
      <c r="I12" s="502"/>
    </row>
    <row r="13" spans="1:9" ht="43.5" customHeight="1">
      <c r="A13" s="338" t="s">
        <v>331</v>
      </c>
      <c r="B13" s="503"/>
      <c r="C13" s="503"/>
      <c r="D13" s="503"/>
      <c r="E13" s="503"/>
      <c r="F13" s="338" t="s">
        <v>353</v>
      </c>
      <c r="G13" s="447"/>
      <c r="H13" s="717" t="s">
        <v>267</v>
      </c>
      <c r="I13" s="718"/>
    </row>
    <row r="14" spans="1:9" ht="12.75" customHeight="1">
      <c r="A14" s="428" t="s">
        <v>167</v>
      </c>
      <c r="B14" s="512"/>
      <c r="C14" s="512"/>
      <c r="D14" s="512"/>
      <c r="E14" s="512"/>
      <c r="F14" s="496" t="s">
        <v>268</v>
      </c>
      <c r="G14" s="496"/>
      <c r="H14" s="495">
        <v>2000</v>
      </c>
      <c r="I14" s="393"/>
    </row>
    <row r="15" spans="1:9" ht="12.75" customHeight="1">
      <c r="A15" s="428" t="s">
        <v>168</v>
      </c>
      <c r="B15" s="512"/>
      <c r="C15" s="512"/>
      <c r="D15" s="512"/>
      <c r="E15" s="512"/>
      <c r="F15" s="496" t="s">
        <v>268</v>
      </c>
      <c r="G15" s="496"/>
      <c r="H15" s="495">
        <v>4000</v>
      </c>
      <c r="I15" s="393"/>
    </row>
    <row r="16" spans="1:9" ht="12.75" customHeight="1">
      <c r="A16" s="360" t="s">
        <v>169</v>
      </c>
      <c r="B16" s="497"/>
      <c r="C16" s="497"/>
      <c r="D16" s="497"/>
      <c r="E16" s="498"/>
      <c r="F16" s="493" t="s">
        <v>268</v>
      </c>
      <c r="G16" s="494"/>
      <c r="H16" s="495">
        <v>0</v>
      </c>
      <c r="I16" s="393"/>
    </row>
    <row r="17" spans="1:15" ht="12.75" customHeight="1">
      <c r="A17" s="360" t="s">
        <v>170</v>
      </c>
      <c r="B17" s="497"/>
      <c r="C17" s="497"/>
      <c r="D17" s="497"/>
      <c r="E17" s="498"/>
      <c r="F17" s="493" t="s">
        <v>268</v>
      </c>
      <c r="G17" s="494"/>
      <c r="H17" s="495">
        <v>400</v>
      </c>
      <c r="I17" s="393"/>
    </row>
    <row r="18" spans="1:15" ht="12.75" customHeight="1">
      <c r="A18" s="360" t="s">
        <v>171</v>
      </c>
      <c r="B18" s="497"/>
      <c r="C18" s="497"/>
      <c r="D18" s="497"/>
      <c r="E18" s="498"/>
      <c r="F18" s="493" t="s">
        <v>268</v>
      </c>
      <c r="G18" s="494"/>
      <c r="H18" s="495">
        <v>0</v>
      </c>
      <c r="I18" s="393"/>
    </row>
    <row r="19" spans="1:15" ht="12.75" customHeight="1">
      <c r="A19" s="360" t="s">
        <v>172</v>
      </c>
      <c r="B19" s="497"/>
      <c r="C19" s="497"/>
      <c r="D19" s="497"/>
      <c r="E19" s="498"/>
      <c r="F19" s="493" t="s">
        <v>268</v>
      </c>
      <c r="G19" s="494"/>
      <c r="H19" s="495">
        <v>600</v>
      </c>
      <c r="I19" s="393"/>
    </row>
    <row r="20" spans="1:15" ht="12.75" customHeight="1">
      <c r="A20" s="499" t="s">
        <v>173</v>
      </c>
      <c r="B20" s="386"/>
      <c r="C20" s="386"/>
      <c r="D20" s="386"/>
      <c r="E20" s="386"/>
      <c r="F20" s="386"/>
      <c r="G20" s="500"/>
      <c r="H20" s="394">
        <f>ROUND(H14+H15+H16+H17+H18+H19,2)</f>
        <v>7000</v>
      </c>
      <c r="I20" s="500"/>
    </row>
    <row r="21" spans="1:15" ht="8.25" customHeight="1">
      <c r="A21" s="374"/>
      <c r="B21" s="485"/>
      <c r="C21" s="485"/>
      <c r="D21" s="485"/>
      <c r="E21" s="485"/>
      <c r="F21" s="485"/>
      <c r="G21" s="485"/>
      <c r="H21" s="485"/>
      <c r="I21" s="486"/>
    </row>
    <row r="22" spans="1:15" ht="23.25" customHeight="1">
      <c r="A22" s="428" t="s">
        <v>174</v>
      </c>
      <c r="B22" s="512"/>
      <c r="C22" s="512"/>
      <c r="D22" s="512"/>
      <c r="E22" s="512"/>
      <c r="F22" s="496" t="s">
        <v>268</v>
      </c>
      <c r="G22" s="496"/>
      <c r="H22" s="487">
        <v>500</v>
      </c>
      <c r="I22" s="488"/>
    </row>
    <row r="23" spans="1:15" ht="12.75" customHeight="1">
      <c r="A23" s="428" t="s">
        <v>175</v>
      </c>
      <c r="B23" s="513"/>
      <c r="C23" s="513"/>
      <c r="D23" s="513"/>
      <c r="E23" s="513"/>
      <c r="F23" s="508" t="s">
        <v>268</v>
      </c>
      <c r="G23" s="508"/>
      <c r="H23" s="487">
        <v>1200</v>
      </c>
      <c r="I23" s="488"/>
    </row>
    <row r="24" spans="1:15" ht="12.75" customHeight="1">
      <c r="A24" s="428" t="s">
        <v>176</v>
      </c>
      <c r="B24" s="513"/>
      <c r="C24" s="513"/>
      <c r="D24" s="513"/>
      <c r="E24" s="513"/>
      <c r="F24" s="496" t="s">
        <v>268</v>
      </c>
      <c r="G24" s="496"/>
      <c r="H24" s="487">
        <v>100</v>
      </c>
      <c r="I24" s="488"/>
    </row>
    <row r="25" spans="1:15" ht="15.75" customHeight="1">
      <c r="A25" s="428" t="s">
        <v>177</v>
      </c>
      <c r="B25" s="513"/>
      <c r="C25" s="513"/>
      <c r="D25" s="513"/>
      <c r="E25" s="513"/>
      <c r="F25" s="508" t="s">
        <v>268</v>
      </c>
      <c r="G25" s="508"/>
      <c r="H25" s="487">
        <v>150</v>
      </c>
      <c r="I25" s="488"/>
    </row>
    <row r="26" spans="1:15" ht="14.25" customHeight="1">
      <c r="A26" s="428" t="s">
        <v>178</v>
      </c>
      <c r="B26" s="513"/>
      <c r="C26" s="513"/>
      <c r="D26" s="513"/>
      <c r="E26" s="513"/>
      <c r="F26" s="508" t="s">
        <v>268</v>
      </c>
      <c r="G26" s="508"/>
      <c r="H26" s="487">
        <v>250</v>
      </c>
      <c r="I26" s="488"/>
      <c r="J26" s="2" t="s">
        <v>141</v>
      </c>
      <c r="K26" s="2" t="s">
        <v>140</v>
      </c>
      <c r="L26" s="2" t="s">
        <v>143</v>
      </c>
      <c r="M26" s="2" t="s">
        <v>142</v>
      </c>
      <c r="N26" s="1" t="s">
        <v>157</v>
      </c>
      <c r="O26" s="1" t="s">
        <v>156</v>
      </c>
    </row>
    <row r="27" spans="1:15" ht="26.25" customHeight="1">
      <c r="A27" s="428" t="s">
        <v>179</v>
      </c>
      <c r="B27" s="513"/>
      <c r="C27" s="513"/>
      <c r="D27" s="513"/>
      <c r="E27" s="513"/>
      <c r="F27" s="496" t="s">
        <v>268</v>
      </c>
      <c r="G27" s="496"/>
      <c r="H27" s="487">
        <v>800</v>
      </c>
      <c r="I27" s="488"/>
      <c r="J27" s="12">
        <f>H59</f>
        <v>0</v>
      </c>
      <c r="K27" s="1">
        <v>220</v>
      </c>
      <c r="L27" s="1">
        <f>ROUND(J27/K27,2)</f>
        <v>0</v>
      </c>
      <c r="M27" s="1">
        <f>8*15*0</f>
        <v>0</v>
      </c>
      <c r="N27" s="12">
        <v>0</v>
      </c>
      <c r="O27" s="11">
        <v>0.5</v>
      </c>
    </row>
    <row r="28" spans="1:15" ht="15" customHeight="1">
      <c r="A28" s="515" t="s">
        <v>180</v>
      </c>
      <c r="B28" s="516"/>
      <c r="C28" s="516"/>
      <c r="D28" s="516"/>
      <c r="E28" s="516"/>
      <c r="F28" s="516"/>
      <c r="G28" s="516"/>
      <c r="H28" s="491">
        <f>ROUND(H22+H23+H24+H25+H26+H27,2)</f>
        <v>3000</v>
      </c>
      <c r="I28" s="492"/>
      <c r="J28" s="12"/>
      <c r="N28" s="12"/>
      <c r="O28" s="11"/>
    </row>
    <row r="29" spans="1:15" ht="7.5" customHeight="1">
      <c r="A29" s="374"/>
      <c r="B29" s="485"/>
      <c r="C29" s="485"/>
      <c r="D29" s="485"/>
      <c r="E29" s="485"/>
      <c r="F29" s="485"/>
      <c r="G29" s="485"/>
      <c r="H29" s="485"/>
      <c r="I29" s="486"/>
      <c r="J29" s="1" t="s">
        <v>138</v>
      </c>
      <c r="K29" s="1" t="s">
        <v>139</v>
      </c>
      <c r="N29" s="12"/>
      <c r="O29" s="11"/>
    </row>
    <row r="30" spans="1:15" ht="27" customHeight="1">
      <c r="A30" s="428" t="s">
        <v>181</v>
      </c>
      <c r="B30" s="512"/>
      <c r="C30" s="512"/>
      <c r="D30" s="512"/>
      <c r="E30" s="512"/>
      <c r="F30" s="496" t="s">
        <v>268</v>
      </c>
      <c r="G30" s="496"/>
      <c r="H30" s="487">
        <v>100</v>
      </c>
      <c r="I30" s="488"/>
      <c r="J30" s="11">
        <v>0</v>
      </c>
      <c r="K30" s="11">
        <v>0</v>
      </c>
    </row>
    <row r="31" spans="1:15" ht="25.5" customHeight="1">
      <c r="A31" s="428" t="s">
        <v>182</v>
      </c>
      <c r="B31" s="512"/>
      <c r="C31" s="512"/>
      <c r="D31" s="512"/>
      <c r="E31" s="512"/>
      <c r="F31" s="496" t="s">
        <v>268</v>
      </c>
      <c r="G31" s="496"/>
      <c r="H31" s="487">
        <v>250</v>
      </c>
      <c r="I31" s="488"/>
      <c r="J31" s="11">
        <v>0.1</v>
      </c>
      <c r="K31" s="11">
        <v>0.3</v>
      </c>
    </row>
    <row r="32" spans="1:15" ht="12.75">
      <c r="A32" s="360" t="s">
        <v>183</v>
      </c>
      <c r="B32" s="497"/>
      <c r="C32" s="497"/>
      <c r="D32" s="497"/>
      <c r="E32" s="498"/>
      <c r="F32" s="493" t="s">
        <v>268</v>
      </c>
      <c r="G32" s="494"/>
      <c r="H32" s="487">
        <v>350</v>
      </c>
      <c r="I32" s="488"/>
    </row>
    <row r="33" spans="1:12" ht="12.75">
      <c r="A33" s="509" t="s">
        <v>216</v>
      </c>
      <c r="B33" s="510"/>
      <c r="C33" s="510"/>
      <c r="D33" s="510"/>
      <c r="E33" s="510"/>
      <c r="F33" s="510"/>
      <c r="G33" s="511"/>
      <c r="H33" s="491">
        <f>ROUND(H30+H31+H32,2)</f>
        <v>700</v>
      </c>
      <c r="I33" s="492"/>
    </row>
    <row r="34" spans="1:12" ht="7.5" customHeight="1">
      <c r="A34" s="676"/>
      <c r="B34" s="485"/>
      <c r="C34" s="485"/>
      <c r="D34" s="485"/>
      <c r="E34" s="485"/>
      <c r="F34" s="485"/>
      <c r="G34" s="485"/>
      <c r="H34" s="485"/>
      <c r="I34" s="486"/>
    </row>
    <row r="35" spans="1:12" ht="12.75">
      <c r="A35" s="514" t="s">
        <v>214</v>
      </c>
      <c r="B35" s="514"/>
      <c r="C35" s="514"/>
      <c r="D35" s="514"/>
      <c r="E35" s="514"/>
      <c r="F35" s="493" t="s">
        <v>268</v>
      </c>
      <c r="G35" s="494"/>
      <c r="H35" s="391">
        <v>70</v>
      </c>
      <c r="I35" s="393"/>
    </row>
    <row r="36" spans="1:12" ht="12.75" customHeight="1">
      <c r="A36" s="681" t="s">
        <v>215</v>
      </c>
      <c r="B36" s="682"/>
      <c r="C36" s="682"/>
      <c r="D36" s="682"/>
      <c r="E36" s="682"/>
      <c r="F36" s="682"/>
      <c r="G36" s="683"/>
      <c r="H36" s="394">
        <f>H35</f>
        <v>70</v>
      </c>
      <c r="I36" s="500"/>
    </row>
    <row r="37" spans="1:12" ht="7.5" customHeight="1">
      <c r="A37" s="688"/>
      <c r="B37" s="689"/>
      <c r="C37" s="689"/>
      <c r="D37" s="689"/>
      <c r="E37" s="689"/>
      <c r="F37" s="689"/>
      <c r="G37" s="689"/>
      <c r="H37" s="689"/>
      <c r="I37" s="690"/>
    </row>
    <row r="38" spans="1:12" s="4" customFormat="1" ht="12.75">
      <c r="A38" s="514" t="s">
        <v>184</v>
      </c>
      <c r="B38" s="514"/>
      <c r="C38" s="514"/>
      <c r="D38" s="514"/>
      <c r="E38" s="514"/>
      <c r="F38" s="508" t="s">
        <v>268</v>
      </c>
      <c r="G38" s="508"/>
      <c r="H38" s="686">
        <v>0</v>
      </c>
      <c r="I38" s="687"/>
      <c r="J38" s="13" t="s">
        <v>144</v>
      </c>
      <c r="K38" s="1" t="s">
        <v>145</v>
      </c>
      <c r="L38" s="1" t="s">
        <v>146</v>
      </c>
    </row>
    <row r="39" spans="1:12" ht="12.75">
      <c r="A39" s="665" t="s">
        <v>91</v>
      </c>
      <c r="B39" s="510"/>
      <c r="C39" s="510"/>
      <c r="D39" s="510"/>
      <c r="E39" s="510"/>
      <c r="F39" s="510"/>
      <c r="G39" s="511"/>
      <c r="H39" s="684">
        <v>0</v>
      </c>
      <c r="I39" s="685"/>
      <c r="J39" s="1">
        <v>2.2999999999999998</v>
      </c>
      <c r="K39" s="14">
        <v>22</v>
      </c>
      <c r="L39" s="15">
        <v>5.5</v>
      </c>
    </row>
    <row r="40" spans="1:12" ht="8.25" customHeight="1">
      <c r="A40" s="122"/>
      <c r="B40" s="119"/>
      <c r="C40" s="119"/>
      <c r="D40" s="119"/>
      <c r="E40" s="119"/>
      <c r="F40" s="119"/>
      <c r="G40" s="119"/>
      <c r="H40" s="120"/>
      <c r="I40" s="121"/>
      <c r="K40" s="14"/>
      <c r="L40" s="15"/>
    </row>
    <row r="41" spans="1:12" ht="15.75" customHeight="1">
      <c r="A41" s="666" t="s">
        <v>92</v>
      </c>
      <c r="B41" s="667"/>
      <c r="C41" s="667"/>
      <c r="D41" s="667"/>
      <c r="E41" s="667"/>
      <c r="F41" s="508" t="s">
        <v>268</v>
      </c>
      <c r="G41" s="508"/>
      <c r="H41" s="679">
        <v>0</v>
      </c>
      <c r="I41" s="680"/>
      <c r="K41" s="14"/>
      <c r="L41" s="15"/>
    </row>
    <row r="42" spans="1:12" ht="15" customHeight="1">
      <c r="A42" s="509" t="s">
        <v>90</v>
      </c>
      <c r="B42" s="721"/>
      <c r="C42" s="721"/>
      <c r="D42" s="721"/>
      <c r="E42" s="721"/>
      <c r="F42" s="721"/>
      <c r="G42" s="722"/>
      <c r="H42" s="720">
        <v>0</v>
      </c>
      <c r="I42" s="396"/>
      <c r="K42" s="14"/>
      <c r="L42" s="15"/>
    </row>
    <row r="43" spans="1:12" ht="7.5" customHeight="1">
      <c r="A43" s="676"/>
      <c r="B43" s="485"/>
      <c r="C43" s="485"/>
      <c r="D43" s="485"/>
      <c r="E43" s="485"/>
      <c r="F43" s="485"/>
      <c r="G43" s="485"/>
      <c r="H43" s="485"/>
      <c r="I43" s="486"/>
    </row>
    <row r="44" spans="1:12" ht="12.75" customHeight="1">
      <c r="A44" s="662" t="s">
        <v>269</v>
      </c>
      <c r="B44" s="663"/>
      <c r="C44" s="663"/>
      <c r="D44" s="663"/>
      <c r="E44" s="663"/>
      <c r="F44" s="663"/>
      <c r="G44" s="664"/>
      <c r="H44" s="677">
        <f>ROUND(H20+H28+H33+H36+H39,2)</f>
        <v>10770</v>
      </c>
      <c r="I44" s="678"/>
    </row>
    <row r="45" spans="1:12" ht="7.5" customHeight="1">
      <c r="A45" s="670"/>
      <c r="B45" s="671"/>
      <c r="C45" s="671"/>
      <c r="D45" s="671"/>
      <c r="E45" s="671"/>
      <c r="F45" s="671"/>
      <c r="G45" s="671"/>
      <c r="H45" s="671"/>
      <c r="I45" s="671"/>
      <c r="J45" s="5"/>
      <c r="K45" s="6"/>
      <c r="L45" s="7"/>
    </row>
    <row r="46" spans="1:12" ht="57" customHeight="1">
      <c r="A46" s="673" t="s">
        <v>401</v>
      </c>
      <c r="B46" s="674"/>
      <c r="C46" s="674"/>
      <c r="D46" s="674"/>
      <c r="E46" s="674"/>
      <c r="F46" s="674"/>
      <c r="G46" s="674"/>
      <c r="H46" s="674"/>
      <c r="I46" s="675"/>
      <c r="J46" s="5"/>
      <c r="K46" s="6"/>
      <c r="L46" s="7"/>
    </row>
    <row r="47" spans="1:12" ht="7.5" customHeight="1">
      <c r="A47" s="670"/>
      <c r="B47" s="474"/>
      <c r="C47" s="474"/>
      <c r="D47" s="474"/>
      <c r="E47" s="474"/>
      <c r="F47" s="474"/>
      <c r="G47" s="474"/>
      <c r="H47" s="474"/>
      <c r="I47" s="474"/>
      <c r="J47" s="5"/>
      <c r="K47" s="6"/>
      <c r="L47" s="7"/>
    </row>
    <row r="48" spans="1:12" ht="64.5" customHeight="1">
      <c r="A48" s="539" t="s">
        <v>410</v>
      </c>
      <c r="B48" s="672"/>
      <c r="C48" s="672"/>
      <c r="D48" s="672"/>
      <c r="E48" s="672"/>
      <c r="F48" s="672"/>
      <c r="G48" s="672"/>
      <c r="H48" s="672"/>
      <c r="I48" s="390"/>
      <c r="J48" s="5"/>
      <c r="K48" s="6"/>
      <c r="L48" s="7"/>
    </row>
    <row r="49" spans="1:256" ht="21.75" customHeight="1">
      <c r="A49" s="528" t="s">
        <v>161</v>
      </c>
      <c r="B49" s="529"/>
      <c r="C49" s="529"/>
      <c r="D49" s="529"/>
      <c r="E49" s="529"/>
      <c r="F49" s="529"/>
      <c r="G49" s="529"/>
      <c r="H49" s="529"/>
      <c r="I49" s="636"/>
      <c r="J49" s="504"/>
      <c r="K49" s="504"/>
      <c r="L49" s="504"/>
      <c r="M49" s="504"/>
      <c r="N49" s="504"/>
      <c r="O49" s="504"/>
      <c r="P49" s="504"/>
      <c r="Q49" s="504"/>
      <c r="R49" s="504"/>
      <c r="S49" s="504"/>
      <c r="T49" s="504"/>
      <c r="U49" s="504"/>
      <c r="V49" s="504"/>
      <c r="W49" s="504"/>
      <c r="X49" s="504"/>
      <c r="Y49" s="504"/>
      <c r="Z49" s="504"/>
      <c r="AA49" s="504"/>
      <c r="AB49" s="504"/>
      <c r="AC49" s="504"/>
      <c r="AD49" s="504"/>
      <c r="AE49" s="504"/>
      <c r="AF49" s="504"/>
      <c r="AG49" s="504"/>
      <c r="AH49" s="504"/>
      <c r="AI49" s="504"/>
      <c r="AJ49" s="504"/>
      <c r="AK49" s="504"/>
      <c r="AL49" s="504"/>
      <c r="AM49" s="504"/>
      <c r="AN49" s="504"/>
      <c r="AO49" s="504"/>
      <c r="AP49" s="504"/>
      <c r="AQ49" s="504"/>
      <c r="AR49" s="504"/>
      <c r="AS49" s="504"/>
      <c r="AT49" s="504"/>
      <c r="AU49" s="504"/>
      <c r="AV49" s="504"/>
      <c r="AW49" s="504"/>
      <c r="AX49" s="504"/>
      <c r="AY49" s="504"/>
      <c r="AZ49" s="504"/>
      <c r="BA49" s="504"/>
      <c r="BB49" s="504"/>
      <c r="BC49" s="504"/>
      <c r="BD49" s="504"/>
      <c r="BE49" s="504"/>
      <c r="BF49" s="504"/>
      <c r="BG49" s="504"/>
      <c r="BH49" s="504"/>
      <c r="BI49" s="504"/>
      <c r="BJ49" s="504"/>
      <c r="BK49" s="504"/>
      <c r="BL49" s="504"/>
      <c r="BM49" s="504"/>
      <c r="BN49" s="504"/>
      <c r="BO49" s="504"/>
      <c r="BP49" s="504"/>
      <c r="BQ49" s="504"/>
      <c r="BR49" s="504"/>
      <c r="BS49" s="504"/>
      <c r="BT49" s="504"/>
      <c r="BU49" s="504"/>
      <c r="BV49" s="504"/>
      <c r="BW49" s="504"/>
      <c r="BX49" s="504"/>
      <c r="BY49" s="504"/>
      <c r="BZ49" s="504"/>
      <c r="CA49" s="504"/>
      <c r="CB49" s="504"/>
      <c r="CC49" s="504"/>
      <c r="CD49" s="504"/>
      <c r="CE49" s="504"/>
      <c r="CF49" s="504"/>
      <c r="CG49" s="504"/>
      <c r="CH49" s="504"/>
      <c r="CI49" s="504"/>
      <c r="CJ49" s="504"/>
      <c r="CK49" s="504"/>
      <c r="CL49" s="504"/>
      <c r="CM49" s="504"/>
      <c r="CN49" s="504"/>
      <c r="CO49" s="504"/>
      <c r="CP49" s="504"/>
      <c r="CQ49" s="504"/>
      <c r="CR49" s="504"/>
      <c r="CS49" s="504"/>
      <c r="CT49" s="504"/>
      <c r="CU49" s="504"/>
      <c r="CV49" s="504"/>
      <c r="CW49" s="504"/>
      <c r="CX49" s="504"/>
      <c r="CY49" s="504"/>
      <c r="CZ49" s="504"/>
      <c r="DA49" s="504"/>
      <c r="DB49" s="504"/>
      <c r="DC49" s="504"/>
      <c r="DD49" s="504"/>
      <c r="DE49" s="504"/>
      <c r="DF49" s="504"/>
      <c r="DG49" s="504"/>
      <c r="DH49" s="504"/>
      <c r="DI49" s="504"/>
      <c r="DJ49" s="504"/>
      <c r="DK49" s="504"/>
      <c r="DL49" s="504"/>
      <c r="DM49" s="504"/>
      <c r="DN49" s="504"/>
      <c r="DO49" s="504"/>
      <c r="DP49" s="504"/>
      <c r="DQ49" s="504"/>
      <c r="DR49" s="504"/>
      <c r="DS49" s="504"/>
      <c r="DT49" s="504"/>
      <c r="DU49" s="504"/>
      <c r="DV49" s="504"/>
      <c r="DW49" s="504"/>
      <c r="DX49" s="504"/>
      <c r="DY49" s="504"/>
      <c r="DZ49" s="504"/>
      <c r="EA49" s="504"/>
      <c r="EB49" s="504"/>
      <c r="EC49" s="504"/>
      <c r="ED49" s="504"/>
      <c r="EE49" s="504"/>
      <c r="EF49" s="504"/>
      <c r="EG49" s="504"/>
      <c r="EH49" s="504"/>
      <c r="EI49" s="504"/>
      <c r="EJ49" s="504"/>
      <c r="EK49" s="504"/>
      <c r="EL49" s="504"/>
      <c r="EM49" s="504"/>
      <c r="EN49" s="504"/>
      <c r="EO49" s="504"/>
      <c r="EP49" s="504"/>
      <c r="EQ49" s="504"/>
      <c r="ER49" s="504"/>
      <c r="ES49" s="504"/>
      <c r="ET49" s="504"/>
      <c r="EU49" s="504"/>
      <c r="EV49" s="504"/>
      <c r="EW49" s="504"/>
      <c r="EX49" s="504"/>
      <c r="EY49" s="504"/>
      <c r="EZ49" s="504"/>
      <c r="FA49" s="504"/>
      <c r="FB49" s="504"/>
      <c r="FC49" s="504"/>
      <c r="FD49" s="504"/>
      <c r="FE49" s="504"/>
      <c r="FF49" s="504"/>
      <c r="FG49" s="504"/>
      <c r="FH49" s="504"/>
      <c r="FI49" s="504"/>
      <c r="FJ49" s="504"/>
      <c r="FK49" s="504"/>
      <c r="FL49" s="504"/>
      <c r="FM49" s="504"/>
      <c r="FN49" s="504"/>
      <c r="FO49" s="504"/>
      <c r="FP49" s="504"/>
      <c r="FQ49" s="504"/>
      <c r="FR49" s="504"/>
      <c r="FS49" s="504"/>
      <c r="FT49" s="504"/>
      <c r="FU49" s="504"/>
      <c r="FV49" s="504"/>
      <c r="FW49" s="504"/>
      <c r="FX49" s="504"/>
      <c r="FY49" s="504"/>
      <c r="FZ49" s="504"/>
      <c r="GA49" s="504"/>
      <c r="GB49" s="504"/>
      <c r="GC49" s="504"/>
      <c r="GD49" s="504"/>
      <c r="GE49" s="504"/>
      <c r="GF49" s="504"/>
      <c r="GG49" s="504"/>
      <c r="GH49" s="504"/>
      <c r="GI49" s="504"/>
      <c r="GJ49" s="504"/>
      <c r="GK49" s="504"/>
      <c r="GL49" s="504"/>
      <c r="GM49" s="504"/>
      <c r="GN49" s="504"/>
      <c r="GO49" s="504"/>
      <c r="GP49" s="504"/>
      <c r="GQ49" s="504"/>
      <c r="GR49" s="504"/>
      <c r="GS49" s="504"/>
      <c r="GT49" s="504"/>
      <c r="GU49" s="504"/>
      <c r="GV49" s="504"/>
      <c r="GW49" s="504"/>
      <c r="GX49" s="504"/>
      <c r="GY49" s="504"/>
      <c r="GZ49" s="504"/>
      <c r="HA49" s="504"/>
      <c r="HB49" s="504"/>
      <c r="HC49" s="504"/>
      <c r="HD49" s="504"/>
      <c r="HE49" s="504"/>
      <c r="HF49" s="504"/>
      <c r="HG49" s="504"/>
      <c r="HH49" s="504"/>
      <c r="HI49" s="504"/>
      <c r="HJ49" s="504"/>
      <c r="HK49" s="504"/>
      <c r="HL49" s="504"/>
      <c r="HM49" s="504"/>
      <c r="HN49" s="504"/>
      <c r="HO49" s="504"/>
      <c r="HP49" s="504"/>
      <c r="HQ49" s="504"/>
      <c r="HR49" s="504"/>
      <c r="HS49" s="504"/>
      <c r="HT49" s="504"/>
      <c r="HU49" s="504"/>
      <c r="HV49" s="504"/>
      <c r="HW49" s="504"/>
      <c r="HX49" s="504"/>
      <c r="HY49" s="504"/>
      <c r="HZ49" s="504"/>
      <c r="IA49" s="504"/>
      <c r="IB49" s="504"/>
      <c r="IC49" s="504"/>
      <c r="ID49" s="504"/>
      <c r="IE49" s="504"/>
      <c r="IF49" s="504"/>
      <c r="IG49" s="504"/>
      <c r="IH49" s="504"/>
      <c r="II49" s="504"/>
      <c r="IJ49" s="504"/>
      <c r="IK49" s="504"/>
      <c r="IL49" s="504"/>
      <c r="IM49" s="504"/>
      <c r="IN49" s="504"/>
      <c r="IO49" s="504"/>
      <c r="IP49" s="504"/>
      <c r="IQ49" s="504"/>
      <c r="IR49" s="504"/>
      <c r="IS49" s="504"/>
      <c r="IT49" s="504"/>
      <c r="IU49" s="504"/>
      <c r="IV49" s="504"/>
    </row>
    <row r="50" spans="1:256" ht="15.75" customHeight="1">
      <c r="A50" s="84">
        <v>1</v>
      </c>
      <c r="B50" s="507" t="s">
        <v>270</v>
      </c>
      <c r="C50" s="507"/>
      <c r="D50" s="507"/>
      <c r="E50" s="507"/>
      <c r="F50" s="507"/>
      <c r="G50" s="507"/>
      <c r="H50" s="505" t="s">
        <v>271</v>
      </c>
      <c r="I50" s="506"/>
    </row>
    <row r="51" spans="1:256" ht="15.75" customHeight="1">
      <c r="A51" s="84">
        <v>2</v>
      </c>
      <c r="B51" s="507" t="s">
        <v>413</v>
      </c>
      <c r="C51" s="507"/>
      <c r="D51" s="507"/>
      <c r="E51" s="507"/>
      <c r="F51" s="507"/>
      <c r="G51" s="507"/>
      <c r="H51" s="505">
        <v>829.4</v>
      </c>
      <c r="I51" s="669"/>
    </row>
    <row r="52" spans="1:256" ht="15.75" customHeight="1">
      <c r="A52" s="84">
        <v>3</v>
      </c>
      <c r="B52" s="507" t="s">
        <v>341</v>
      </c>
      <c r="C52" s="507"/>
      <c r="D52" s="507"/>
      <c r="E52" s="507"/>
      <c r="F52" s="507"/>
      <c r="G52" s="507"/>
      <c r="H52" s="621" t="s">
        <v>340</v>
      </c>
      <c r="I52" s="622"/>
    </row>
    <row r="53" spans="1:256" ht="15.75" customHeight="1">
      <c r="A53" s="84">
        <v>4</v>
      </c>
      <c r="B53" s="507" t="s">
        <v>125</v>
      </c>
      <c r="C53" s="507"/>
      <c r="D53" s="507"/>
      <c r="E53" s="507"/>
      <c r="F53" s="507"/>
      <c r="G53" s="507"/>
      <c r="H53" s="621" t="s">
        <v>43</v>
      </c>
      <c r="I53" s="622"/>
    </row>
    <row r="54" spans="1:256" ht="9" customHeight="1">
      <c r="A54" s="619"/>
      <c r="B54" s="620"/>
      <c r="C54" s="620"/>
      <c r="D54" s="620"/>
      <c r="E54" s="620"/>
      <c r="F54" s="620"/>
      <c r="G54" s="620"/>
      <c r="H54" s="620"/>
      <c r="I54" s="620"/>
    </row>
    <row r="55" spans="1:256" ht="14.25" customHeight="1">
      <c r="A55" s="666" t="s">
        <v>338</v>
      </c>
      <c r="B55" s="667"/>
      <c r="C55" s="667"/>
      <c r="D55" s="667"/>
      <c r="E55" s="667"/>
      <c r="F55" s="667"/>
      <c r="G55" s="667"/>
      <c r="H55" s="667"/>
      <c r="I55" s="710"/>
    </row>
    <row r="56" spans="1:256" ht="9" customHeight="1">
      <c r="A56" s="711"/>
      <c r="B56" s="712"/>
      <c r="C56" s="712"/>
      <c r="D56" s="712"/>
      <c r="E56" s="712"/>
      <c r="F56" s="712"/>
      <c r="G56" s="712"/>
      <c r="H56" s="712"/>
      <c r="I56" s="713"/>
    </row>
    <row r="57" spans="1:256" ht="36" customHeight="1">
      <c r="A57" s="618" t="s">
        <v>298</v>
      </c>
      <c r="B57" s="431"/>
      <c r="C57" s="431"/>
      <c r="D57" s="431"/>
      <c r="E57" s="431"/>
      <c r="F57" s="431"/>
      <c r="G57" s="431"/>
      <c r="H57" s="431"/>
      <c r="I57" s="340"/>
    </row>
    <row r="58" spans="1:256" s="8" customFormat="1" ht="29.25" customHeight="1">
      <c r="A58" s="60">
        <v>1</v>
      </c>
      <c r="B58" s="528" t="s">
        <v>355</v>
      </c>
      <c r="C58" s="529"/>
      <c r="D58" s="529"/>
      <c r="E58" s="529"/>
      <c r="F58" s="529"/>
      <c r="G58" s="626"/>
      <c r="H58" s="60" t="s">
        <v>385</v>
      </c>
      <c r="I58" s="60" t="s">
        <v>386</v>
      </c>
    </row>
    <row r="59" spans="1:256" ht="27.75" customHeight="1">
      <c r="A59" s="84" t="s">
        <v>259</v>
      </c>
      <c r="B59" s="532" t="s">
        <v>411</v>
      </c>
      <c r="C59" s="533"/>
      <c r="D59" s="533"/>
      <c r="E59" s="533"/>
      <c r="F59" s="533"/>
      <c r="G59" s="533"/>
      <c r="H59" s="624"/>
      <c r="I59" s="87">
        <f>ROUND(((40/6)*30)*(ROUND(H51/220,2)),2)</f>
        <v>754</v>
      </c>
    </row>
    <row r="60" spans="1:256" ht="15.75" customHeight="1">
      <c r="A60" s="84" t="s">
        <v>261</v>
      </c>
      <c r="B60" s="668" t="s">
        <v>435</v>
      </c>
      <c r="C60" s="534"/>
      <c r="D60" s="534"/>
      <c r="E60" s="534"/>
      <c r="F60" s="534"/>
      <c r="G60" s="623"/>
      <c r="H60" s="85"/>
      <c r="I60" s="87"/>
    </row>
    <row r="61" spans="1:256" ht="15.75" customHeight="1">
      <c r="A61" s="84" t="s">
        <v>263</v>
      </c>
      <c r="B61" s="645" t="s">
        <v>44</v>
      </c>
      <c r="C61" s="534"/>
      <c r="D61" s="534"/>
      <c r="E61" s="534"/>
      <c r="F61" s="534"/>
      <c r="G61" s="623"/>
      <c r="H61" s="86">
        <v>0.2</v>
      </c>
      <c r="I61" s="87">
        <f>ROUND(H61*I59,2)</f>
        <v>150.80000000000001</v>
      </c>
    </row>
    <row r="62" spans="1:256" ht="15.75" customHeight="1">
      <c r="A62" s="84" t="s">
        <v>264</v>
      </c>
      <c r="B62" s="532" t="s">
        <v>436</v>
      </c>
      <c r="C62" s="625"/>
      <c r="D62" s="625"/>
      <c r="E62" s="625"/>
      <c r="F62" s="625"/>
      <c r="G62" s="625"/>
      <c r="H62" s="624"/>
      <c r="I62" s="87"/>
    </row>
    <row r="63" spans="1:256" ht="15.75" customHeight="1">
      <c r="A63" s="84" t="s">
        <v>272</v>
      </c>
      <c r="B63" s="532" t="s">
        <v>437</v>
      </c>
      <c r="C63" s="625"/>
      <c r="D63" s="625"/>
      <c r="E63" s="625"/>
      <c r="F63" s="625"/>
      <c r="G63" s="625"/>
      <c r="H63" s="624"/>
      <c r="I63" s="87"/>
    </row>
    <row r="64" spans="1:256" ht="15.75" customHeight="1">
      <c r="A64" s="84" t="s">
        <v>273</v>
      </c>
      <c r="B64" s="532" t="s">
        <v>438</v>
      </c>
      <c r="C64" s="625"/>
      <c r="D64" s="625"/>
      <c r="E64" s="625"/>
      <c r="F64" s="625"/>
      <c r="G64" s="625"/>
      <c r="H64" s="624"/>
      <c r="I64" s="87"/>
    </row>
    <row r="65" spans="1:12" ht="15.75" customHeight="1">
      <c r="A65" s="84" t="s">
        <v>274</v>
      </c>
      <c r="B65" s="532" t="s">
        <v>356</v>
      </c>
      <c r="C65" s="625"/>
      <c r="D65" s="625"/>
      <c r="E65" s="625"/>
      <c r="F65" s="625"/>
      <c r="G65" s="625"/>
      <c r="H65" s="624"/>
      <c r="I65" s="87"/>
    </row>
    <row r="66" spans="1:12" ht="15.75" customHeight="1">
      <c r="A66" s="385" t="s">
        <v>330</v>
      </c>
      <c r="B66" s="534"/>
      <c r="C66" s="534"/>
      <c r="D66" s="534"/>
      <c r="E66" s="534"/>
      <c r="F66" s="534"/>
      <c r="G66" s="534"/>
      <c r="H66" s="623"/>
      <c r="I66" s="68">
        <f>SUM(I59:I65)</f>
        <v>904.8</v>
      </c>
    </row>
    <row r="67" spans="1:12" ht="30" customHeight="1">
      <c r="A67" s="517" t="s">
        <v>276</v>
      </c>
      <c r="B67" s="518"/>
      <c r="C67" s="518"/>
      <c r="D67" s="518"/>
      <c r="E67" s="518"/>
      <c r="F67" s="518"/>
      <c r="G67" s="518"/>
      <c r="H67" s="518"/>
      <c r="I67" s="398"/>
    </row>
    <row r="68" spans="1:12" ht="18.75" customHeight="1">
      <c r="A68" s="75">
        <v>2</v>
      </c>
      <c r="B68" s="528" t="s">
        <v>357</v>
      </c>
      <c r="C68" s="529"/>
      <c r="D68" s="529"/>
      <c r="E68" s="529"/>
      <c r="F68" s="529"/>
      <c r="G68" s="529"/>
      <c r="H68" s="530"/>
      <c r="I68" s="53" t="s">
        <v>127</v>
      </c>
    </row>
    <row r="69" spans="1:12" ht="15.75" customHeight="1">
      <c r="A69" s="52" t="s">
        <v>259</v>
      </c>
      <c r="B69" s="507" t="s">
        <v>347</v>
      </c>
      <c r="C69" s="507"/>
      <c r="D69" s="507"/>
      <c r="E69" s="507"/>
      <c r="F69" s="507"/>
      <c r="G69" s="507"/>
      <c r="H69" s="531"/>
      <c r="I69" s="88">
        <f>IF(ROUND((21*H70*H71)-(I59*0.06),2)&lt;0,0,ROUND((21*H70*H71)-(I59*0.06),2))*1+(H70*H71*21.726-0.06*I59)*0</f>
        <v>91.26</v>
      </c>
      <c r="K69" s="1">
        <f>2*22*2.7</f>
        <v>118.80000000000001</v>
      </c>
    </row>
    <row r="70" spans="1:12" ht="22.5" customHeight="1">
      <c r="A70" s="52"/>
      <c r="B70" s="519" t="s">
        <v>334</v>
      </c>
      <c r="C70" s="520"/>
      <c r="D70" s="520"/>
      <c r="E70" s="520"/>
      <c r="F70" s="520"/>
      <c r="G70" s="520"/>
      <c r="H70" s="91">
        <v>3.25</v>
      </c>
      <c r="I70" s="89" t="s">
        <v>227</v>
      </c>
      <c r="K70" s="1">
        <f>0.06*572*(22/30)</f>
        <v>25.167999999999999</v>
      </c>
      <c r="L70" s="1">
        <f>K69-K70</f>
        <v>93.632000000000005</v>
      </c>
    </row>
    <row r="71" spans="1:12" ht="17.25" customHeight="1">
      <c r="A71" s="52"/>
      <c r="B71" s="521" t="s">
        <v>335</v>
      </c>
      <c r="C71" s="521"/>
      <c r="D71" s="521"/>
      <c r="E71" s="521"/>
      <c r="F71" s="521"/>
      <c r="G71" s="521"/>
      <c r="H71" s="114">
        <v>2</v>
      </c>
      <c r="I71" s="89"/>
    </row>
    <row r="72" spans="1:12" ht="15.75" customHeight="1">
      <c r="A72" s="52" t="s">
        <v>261</v>
      </c>
      <c r="B72" s="532" t="s">
        <v>46</v>
      </c>
      <c r="C72" s="533"/>
      <c r="D72" s="533"/>
      <c r="E72" s="533"/>
      <c r="F72" s="533"/>
      <c r="G72" s="533"/>
      <c r="H72" s="534"/>
      <c r="I72" s="88">
        <f>ROUND(21*H73*(1-0.175),2)*1+ROUND(21.726*6*(1-0.175),2)*0</f>
        <v>225.23</v>
      </c>
    </row>
    <row r="73" spans="1:12" ht="15.75" customHeight="1">
      <c r="A73" s="52"/>
      <c r="B73" s="519" t="s">
        <v>45</v>
      </c>
      <c r="C73" s="520"/>
      <c r="D73" s="520"/>
      <c r="E73" s="520"/>
      <c r="F73" s="520"/>
      <c r="G73" s="520"/>
      <c r="H73" s="91">
        <v>13</v>
      </c>
      <c r="I73" s="89" t="s">
        <v>227</v>
      </c>
      <c r="K73" s="1">
        <f>2.95*21*2</f>
        <v>123.9</v>
      </c>
    </row>
    <row r="74" spans="1:12" ht="15.75" customHeight="1">
      <c r="A74" s="52" t="s">
        <v>263</v>
      </c>
      <c r="B74" s="532" t="s">
        <v>277</v>
      </c>
      <c r="C74" s="533"/>
      <c r="D74" s="533"/>
      <c r="E74" s="533"/>
      <c r="F74" s="533"/>
      <c r="G74" s="533"/>
      <c r="H74" s="534"/>
      <c r="I74" s="88">
        <v>0</v>
      </c>
    </row>
    <row r="75" spans="1:12" ht="15.75" customHeight="1">
      <c r="A75" s="52" t="s">
        <v>264</v>
      </c>
      <c r="B75" s="652" t="s">
        <v>299</v>
      </c>
      <c r="C75" s="625"/>
      <c r="D75" s="625"/>
      <c r="E75" s="625"/>
      <c r="F75" s="625"/>
      <c r="G75" s="625"/>
      <c r="H75" s="534"/>
      <c r="I75" s="90">
        <v>0</v>
      </c>
    </row>
    <row r="76" spans="1:12" ht="25.5" customHeight="1">
      <c r="A76" s="52" t="s">
        <v>272</v>
      </c>
      <c r="B76" s="532" t="s">
        <v>47</v>
      </c>
      <c r="C76" s="653"/>
      <c r="D76" s="653"/>
      <c r="E76" s="653"/>
      <c r="F76" s="653"/>
      <c r="G76" s="653"/>
      <c r="H76" s="654"/>
      <c r="I76" s="88">
        <f>ROUND(0.001068*5000,2)</f>
        <v>5.34</v>
      </c>
      <c r="J76" s="12">
        <f>I66+I109</f>
        <v>980.19999999999993</v>
      </c>
      <c r="K76" s="1">
        <f>0.06*692</f>
        <v>41.519999999999996</v>
      </c>
    </row>
    <row r="77" spans="1:12" ht="30.75" customHeight="1">
      <c r="A77" s="52" t="s">
        <v>273</v>
      </c>
      <c r="B77" s="532" t="s">
        <v>461</v>
      </c>
      <c r="C77" s="533"/>
      <c r="D77" s="533"/>
      <c r="E77" s="533"/>
      <c r="F77" s="533"/>
      <c r="G77" s="533"/>
      <c r="H77" s="654"/>
      <c r="I77" s="90">
        <v>8.4600000000000009</v>
      </c>
      <c r="K77" s="1">
        <f>K73-K76</f>
        <v>82.38000000000001</v>
      </c>
    </row>
    <row r="78" spans="1:12" ht="15.75" customHeight="1">
      <c r="A78" s="52" t="s">
        <v>274</v>
      </c>
      <c r="B78" s="652" t="s">
        <v>408</v>
      </c>
      <c r="C78" s="625"/>
      <c r="D78" s="625"/>
      <c r="E78" s="625"/>
      <c r="F78" s="625"/>
      <c r="G78" s="625"/>
      <c r="H78" s="534"/>
      <c r="I78" s="125" t="s">
        <v>227</v>
      </c>
    </row>
    <row r="79" spans="1:12" ht="15.75" customHeight="1">
      <c r="A79" s="78"/>
      <c r="B79" s="525" t="s">
        <v>358</v>
      </c>
      <c r="C79" s="526"/>
      <c r="D79" s="526"/>
      <c r="E79" s="526"/>
      <c r="F79" s="526"/>
      <c r="G79" s="526"/>
      <c r="H79" s="527"/>
      <c r="I79" s="55">
        <f>SUM(I69:I77)</f>
        <v>330.28999999999996</v>
      </c>
    </row>
    <row r="80" spans="1:12" ht="7.5" customHeight="1">
      <c r="A80" s="647"/>
      <c r="B80" s="655"/>
      <c r="C80" s="655"/>
      <c r="D80" s="655"/>
      <c r="E80" s="655"/>
      <c r="F80" s="655"/>
      <c r="G80" s="655"/>
      <c r="H80" s="655"/>
      <c r="I80" s="656"/>
    </row>
    <row r="81" spans="1:9" ht="15.75" customHeight="1">
      <c r="A81" s="657" t="s">
        <v>300</v>
      </c>
      <c r="B81" s="653"/>
      <c r="C81" s="653"/>
      <c r="D81" s="653"/>
      <c r="E81" s="653"/>
      <c r="F81" s="653"/>
      <c r="G81" s="653"/>
      <c r="H81" s="653"/>
      <c r="I81" s="654"/>
    </row>
    <row r="82" spans="1:9" ht="7.5" customHeight="1">
      <c r="A82" s="659"/>
      <c r="B82" s="660"/>
      <c r="C82" s="660"/>
      <c r="D82" s="660"/>
      <c r="E82" s="660"/>
      <c r="F82" s="660"/>
      <c r="G82" s="660"/>
      <c r="H82" s="660"/>
      <c r="I82" s="661"/>
    </row>
    <row r="83" spans="1:9" ht="30" customHeight="1">
      <c r="A83" s="657" t="s">
        <v>278</v>
      </c>
      <c r="B83" s="658"/>
      <c r="C83" s="658"/>
      <c r="D83" s="658"/>
      <c r="E83" s="658"/>
      <c r="F83" s="658"/>
      <c r="G83" s="658"/>
      <c r="H83" s="658"/>
      <c r="I83" s="399"/>
    </row>
    <row r="84" spans="1:9" ht="15.75" customHeight="1">
      <c r="A84" s="75">
        <v>3</v>
      </c>
      <c r="B84" s="528" t="s">
        <v>359</v>
      </c>
      <c r="C84" s="529"/>
      <c r="D84" s="529"/>
      <c r="E84" s="529"/>
      <c r="F84" s="529"/>
      <c r="G84" s="529"/>
      <c r="H84" s="651"/>
      <c r="I84" s="75" t="s">
        <v>127</v>
      </c>
    </row>
    <row r="85" spans="1:9" ht="17.25" customHeight="1">
      <c r="A85" s="52" t="s">
        <v>259</v>
      </c>
      <c r="B85" s="532" t="s">
        <v>321</v>
      </c>
      <c r="C85" s="533"/>
      <c r="D85" s="533"/>
      <c r="E85" s="533"/>
      <c r="F85" s="533"/>
      <c r="G85" s="533"/>
      <c r="H85" s="629"/>
      <c r="I85" s="88">
        <v>30</v>
      </c>
    </row>
    <row r="86" spans="1:9" ht="15.75" customHeight="1">
      <c r="A86" s="52" t="s">
        <v>261</v>
      </c>
      <c r="B86" s="532" t="s">
        <v>322</v>
      </c>
      <c r="C86" s="533"/>
      <c r="D86" s="533"/>
      <c r="E86" s="533"/>
      <c r="F86" s="533"/>
      <c r="G86" s="533"/>
      <c r="H86" s="629"/>
      <c r="I86" s="90">
        <v>210</v>
      </c>
    </row>
    <row r="87" spans="1:9" ht="15.75" customHeight="1">
      <c r="A87" s="52" t="s">
        <v>263</v>
      </c>
      <c r="B87" s="652" t="s">
        <v>323</v>
      </c>
      <c r="C87" s="625"/>
      <c r="D87" s="625"/>
      <c r="E87" s="625"/>
      <c r="F87" s="625"/>
      <c r="G87" s="625"/>
      <c r="H87" s="624"/>
      <c r="I87" s="90">
        <v>38</v>
      </c>
    </row>
    <row r="88" spans="1:9" ht="15.75" customHeight="1">
      <c r="A88" s="52" t="s">
        <v>264</v>
      </c>
      <c r="B88" s="532" t="s">
        <v>324</v>
      </c>
      <c r="C88" s="533"/>
      <c r="D88" s="533"/>
      <c r="E88" s="533"/>
      <c r="F88" s="533"/>
      <c r="G88" s="533"/>
      <c r="H88" s="629"/>
      <c r="I88" s="90" t="s">
        <v>285</v>
      </c>
    </row>
    <row r="89" spans="1:9" ht="15.75" customHeight="1">
      <c r="A89" s="525" t="s">
        <v>360</v>
      </c>
      <c r="B89" s="637"/>
      <c r="C89" s="637"/>
      <c r="D89" s="637"/>
      <c r="E89" s="637"/>
      <c r="F89" s="637"/>
      <c r="G89" s="637"/>
      <c r="H89" s="638"/>
      <c r="I89" s="54">
        <f>ROUND(SUM(I85:I88),2)</f>
        <v>278</v>
      </c>
    </row>
    <row r="90" spans="1:9" ht="8.25" customHeight="1">
      <c r="A90" s="641"/>
      <c r="B90" s="642"/>
      <c r="C90" s="642"/>
      <c r="D90" s="642"/>
      <c r="E90" s="642"/>
      <c r="F90" s="642"/>
      <c r="G90" s="642"/>
      <c r="H90" s="642"/>
      <c r="I90" s="643"/>
    </row>
    <row r="91" spans="1:9" ht="15.75" customHeight="1">
      <c r="A91" s="666" t="s">
        <v>339</v>
      </c>
      <c r="B91" s="667"/>
      <c r="C91" s="667"/>
      <c r="D91" s="667"/>
      <c r="E91" s="667"/>
      <c r="F91" s="667"/>
      <c r="G91" s="667"/>
      <c r="H91" s="667"/>
      <c r="I91" s="710"/>
    </row>
    <row r="92" spans="1:9" ht="8.25" customHeight="1">
      <c r="A92" s="63"/>
      <c r="B92" s="61"/>
      <c r="C92" s="61"/>
      <c r="D92" s="61"/>
      <c r="E92" s="61"/>
      <c r="F92" s="61"/>
      <c r="G92" s="61"/>
      <c r="H92" s="61"/>
      <c r="I92" s="62"/>
    </row>
    <row r="93" spans="1:9" s="4" customFormat="1" ht="32.25" customHeight="1">
      <c r="A93" s="618" t="s">
        <v>361</v>
      </c>
      <c r="B93" s="431"/>
      <c r="C93" s="431"/>
      <c r="D93" s="431"/>
      <c r="E93" s="431"/>
      <c r="F93" s="431"/>
      <c r="G93" s="431"/>
      <c r="H93" s="431"/>
      <c r="I93" s="340"/>
    </row>
    <row r="94" spans="1:9" s="4" customFormat="1" ht="30" customHeight="1">
      <c r="A94" s="76" t="s">
        <v>279</v>
      </c>
      <c r="B94" s="528" t="s">
        <v>362</v>
      </c>
      <c r="C94" s="529"/>
      <c r="D94" s="529"/>
      <c r="E94" s="529"/>
      <c r="F94" s="529"/>
      <c r="G94" s="626"/>
      <c r="H94" s="53" t="s">
        <v>363</v>
      </c>
      <c r="I94" s="53" t="s">
        <v>364</v>
      </c>
    </row>
    <row r="95" spans="1:9" s="4" customFormat="1" ht="15.75" customHeight="1">
      <c r="A95" s="83" t="s">
        <v>259</v>
      </c>
      <c r="B95" s="545" t="s">
        <v>128</v>
      </c>
      <c r="C95" s="546"/>
      <c r="D95" s="546"/>
      <c r="E95" s="546"/>
      <c r="F95" s="546"/>
      <c r="G95" s="547"/>
      <c r="H95" s="92">
        <v>0.2</v>
      </c>
      <c r="I95" s="51">
        <f t="shared" ref="I95:I102" si="0">ROUND($I$66*H95,2)</f>
        <v>180.96</v>
      </c>
    </row>
    <row r="96" spans="1:9" s="4" customFormat="1" ht="15.75" customHeight="1">
      <c r="A96" s="83" t="s">
        <v>261</v>
      </c>
      <c r="B96" s="545" t="s">
        <v>129</v>
      </c>
      <c r="C96" s="546"/>
      <c r="D96" s="546"/>
      <c r="E96" s="546"/>
      <c r="F96" s="546"/>
      <c r="G96" s="547"/>
      <c r="H96" s="92">
        <v>1.4999999999999999E-2</v>
      </c>
      <c r="I96" s="51">
        <f t="shared" si="0"/>
        <v>13.57</v>
      </c>
    </row>
    <row r="97" spans="1:9" s="4" customFormat="1" ht="15.75" customHeight="1">
      <c r="A97" s="83" t="s">
        <v>263</v>
      </c>
      <c r="B97" s="545" t="s">
        <v>130</v>
      </c>
      <c r="C97" s="546"/>
      <c r="D97" s="546"/>
      <c r="E97" s="546"/>
      <c r="F97" s="546"/>
      <c r="G97" s="547"/>
      <c r="H97" s="92">
        <v>0.01</v>
      </c>
      <c r="I97" s="51">
        <f t="shared" si="0"/>
        <v>9.0500000000000007</v>
      </c>
    </row>
    <row r="98" spans="1:9" s="4" customFormat="1" ht="15.75" customHeight="1">
      <c r="A98" s="83" t="s">
        <v>264</v>
      </c>
      <c r="B98" s="545" t="s">
        <v>131</v>
      </c>
      <c r="C98" s="546"/>
      <c r="D98" s="546"/>
      <c r="E98" s="546"/>
      <c r="F98" s="546"/>
      <c r="G98" s="547"/>
      <c r="H98" s="92">
        <v>2E-3</v>
      </c>
      <c r="I98" s="51">
        <f t="shared" si="0"/>
        <v>1.81</v>
      </c>
    </row>
    <row r="99" spans="1:9" ht="15.75" customHeight="1">
      <c r="A99" s="83" t="s">
        <v>272</v>
      </c>
      <c r="B99" s="532" t="s">
        <v>301</v>
      </c>
      <c r="C99" s="533"/>
      <c r="D99" s="533"/>
      <c r="E99" s="533"/>
      <c r="F99" s="533"/>
      <c r="G99" s="629"/>
      <c r="H99" s="57">
        <v>2.5000000000000001E-2</v>
      </c>
      <c r="I99" s="51">
        <f t="shared" si="0"/>
        <v>22.62</v>
      </c>
    </row>
    <row r="100" spans="1:9" ht="15.75" customHeight="1">
      <c r="A100" s="83" t="s">
        <v>273</v>
      </c>
      <c r="B100" s="532" t="s">
        <v>132</v>
      </c>
      <c r="C100" s="533"/>
      <c r="D100" s="533"/>
      <c r="E100" s="533"/>
      <c r="F100" s="533"/>
      <c r="G100" s="629"/>
      <c r="H100" s="57">
        <v>0.08</v>
      </c>
      <c r="I100" s="51">
        <f t="shared" si="0"/>
        <v>72.38</v>
      </c>
    </row>
    <row r="101" spans="1:9" ht="55.5" customHeight="1">
      <c r="A101" s="83" t="s">
        <v>274</v>
      </c>
      <c r="B101" s="507" t="s">
        <v>343</v>
      </c>
      <c r="C101" s="727"/>
      <c r="D101" s="111" t="s">
        <v>342</v>
      </c>
      <c r="E101" s="112">
        <v>0.03</v>
      </c>
      <c r="F101" s="111" t="s">
        <v>344</v>
      </c>
      <c r="G101" s="113">
        <v>1</v>
      </c>
      <c r="H101" s="109">
        <f>ROUND((E101*G101),6)</f>
        <v>0.03</v>
      </c>
      <c r="I101" s="51">
        <f t="shared" si="0"/>
        <v>27.14</v>
      </c>
    </row>
    <row r="102" spans="1:9" ht="15.75" customHeight="1">
      <c r="A102" s="83" t="s">
        <v>275</v>
      </c>
      <c r="B102" s="532" t="s">
        <v>133</v>
      </c>
      <c r="C102" s="533"/>
      <c r="D102" s="533"/>
      <c r="E102" s="533"/>
      <c r="F102" s="533"/>
      <c r="G102" s="629"/>
      <c r="H102" s="57">
        <v>6.0000000000000001E-3</v>
      </c>
      <c r="I102" s="51">
        <f t="shared" si="0"/>
        <v>5.43</v>
      </c>
    </row>
    <row r="103" spans="1:9" ht="15.75" customHeight="1">
      <c r="A103" s="525" t="s">
        <v>134</v>
      </c>
      <c r="B103" s="536"/>
      <c r="C103" s="536"/>
      <c r="D103" s="536"/>
      <c r="E103" s="536"/>
      <c r="F103" s="536"/>
      <c r="G103" s="537"/>
      <c r="H103" s="110">
        <f>SUM(H95:H102)</f>
        <v>0.3680000000000001</v>
      </c>
      <c r="I103" s="55">
        <f>SUM(I95:I102)</f>
        <v>332.96</v>
      </c>
    </row>
    <row r="104" spans="1:9" ht="8.25" customHeight="1">
      <c r="A104" s="64"/>
      <c r="B104" s="65"/>
      <c r="C104" s="65"/>
      <c r="D104" s="65"/>
      <c r="E104" s="65"/>
      <c r="F104" s="65"/>
      <c r="G104" s="65"/>
      <c r="H104" s="66"/>
      <c r="I104" s="67"/>
    </row>
    <row r="105" spans="1:9" ht="38.25" customHeight="1">
      <c r="A105" s="644" t="s">
        <v>387</v>
      </c>
      <c r="B105" s="645"/>
      <c r="C105" s="645"/>
      <c r="D105" s="645"/>
      <c r="E105" s="645"/>
      <c r="F105" s="645"/>
      <c r="G105" s="645"/>
      <c r="H105" s="645"/>
      <c r="I105" s="646"/>
    </row>
    <row r="106" spans="1:9" ht="7.5" customHeight="1">
      <c r="A106" s="647"/>
      <c r="B106" s="642"/>
      <c r="C106" s="642"/>
      <c r="D106" s="642"/>
      <c r="E106" s="642"/>
      <c r="F106" s="642"/>
      <c r="G106" s="642"/>
      <c r="H106" s="642"/>
      <c r="I106" s="643"/>
    </row>
    <row r="107" spans="1:9" ht="18" customHeight="1">
      <c r="A107" s="539" t="s">
        <v>365</v>
      </c>
      <c r="B107" s="639"/>
      <c r="C107" s="639"/>
      <c r="D107" s="639"/>
      <c r="E107" s="639"/>
      <c r="F107" s="639"/>
      <c r="G107" s="639"/>
      <c r="H107" s="639"/>
      <c r="I107" s="640"/>
    </row>
    <row r="108" spans="1:9" ht="15.75" customHeight="1">
      <c r="A108" s="75" t="s">
        <v>280</v>
      </c>
      <c r="B108" s="528" t="s">
        <v>367</v>
      </c>
      <c r="C108" s="529"/>
      <c r="D108" s="529"/>
      <c r="E108" s="529"/>
      <c r="F108" s="529"/>
      <c r="G108" s="529"/>
      <c r="H108" s="636"/>
      <c r="I108" s="75" t="s">
        <v>127</v>
      </c>
    </row>
    <row r="109" spans="1:9" ht="15.75" customHeight="1">
      <c r="A109" s="52" t="s">
        <v>259</v>
      </c>
      <c r="B109" s="545" t="s">
        <v>366</v>
      </c>
      <c r="C109" s="546"/>
      <c r="D109" s="546"/>
      <c r="E109" s="546"/>
      <c r="F109" s="546"/>
      <c r="G109" s="546"/>
      <c r="H109" s="629"/>
      <c r="I109" s="51">
        <f>ROUND($I$66/12,2)</f>
        <v>75.400000000000006</v>
      </c>
    </row>
    <row r="110" spans="1:9" ht="15.75" customHeight="1">
      <c r="A110" s="525" t="s">
        <v>281</v>
      </c>
      <c r="B110" s="526"/>
      <c r="C110" s="526"/>
      <c r="D110" s="526"/>
      <c r="E110" s="526"/>
      <c r="F110" s="526"/>
      <c r="G110" s="526"/>
      <c r="H110" s="511"/>
      <c r="I110" s="108">
        <f>SUM(I109:I109)</f>
        <v>75.400000000000006</v>
      </c>
    </row>
    <row r="111" spans="1:9" ht="21" customHeight="1">
      <c r="A111" s="52" t="s">
        <v>261</v>
      </c>
      <c r="B111" s="633" t="s">
        <v>429</v>
      </c>
      <c r="C111" s="634"/>
      <c r="D111" s="634"/>
      <c r="E111" s="634"/>
      <c r="F111" s="634"/>
      <c r="G111" s="634"/>
      <c r="H111" s="635"/>
      <c r="I111" s="93">
        <f>ROUND(H103*I110,2)</f>
        <v>27.75</v>
      </c>
    </row>
    <row r="112" spans="1:9" ht="15.75" customHeight="1">
      <c r="A112" s="548" t="s">
        <v>134</v>
      </c>
      <c r="B112" s="549"/>
      <c r="C112" s="549"/>
      <c r="D112" s="549"/>
      <c r="E112" s="549"/>
      <c r="F112" s="549"/>
      <c r="G112" s="549"/>
      <c r="H112" s="649"/>
      <c r="I112" s="56">
        <f>SUM(I110:I111)</f>
        <v>103.15</v>
      </c>
    </row>
    <row r="113" spans="1:11" ht="10.5" customHeight="1">
      <c r="A113" s="659"/>
      <c r="B113" s="691"/>
      <c r="C113" s="691"/>
      <c r="D113" s="691"/>
      <c r="E113" s="691"/>
      <c r="F113" s="691"/>
      <c r="G113" s="691"/>
      <c r="H113" s="691"/>
      <c r="I113" s="692"/>
    </row>
    <row r="114" spans="1:11" ht="24.75" customHeight="1">
      <c r="A114" s="539" t="s">
        <v>368</v>
      </c>
      <c r="B114" s="540"/>
      <c r="C114" s="540"/>
      <c r="D114" s="540"/>
      <c r="E114" s="540"/>
      <c r="F114" s="540"/>
      <c r="G114" s="540"/>
      <c r="H114" s="540"/>
      <c r="I114" s="541"/>
      <c r="K114" s="1">
        <f>1/12</f>
        <v>8.3333333333333329E-2</v>
      </c>
    </row>
    <row r="115" spans="1:11" ht="15.75" customHeight="1">
      <c r="A115" s="75" t="s">
        <v>282</v>
      </c>
      <c r="B115" s="542" t="s">
        <v>287</v>
      </c>
      <c r="C115" s="543"/>
      <c r="D115" s="543"/>
      <c r="E115" s="543"/>
      <c r="F115" s="543"/>
      <c r="G115" s="543"/>
      <c r="H115" s="544"/>
      <c r="I115" s="75" t="s">
        <v>127</v>
      </c>
    </row>
    <row r="116" spans="1:11" ht="15.75" customHeight="1">
      <c r="A116" s="52" t="s">
        <v>259</v>
      </c>
      <c r="B116" s="532" t="s">
        <v>337</v>
      </c>
      <c r="C116" s="533"/>
      <c r="D116" s="533"/>
      <c r="E116" s="533"/>
      <c r="F116" s="533"/>
      <c r="G116" s="533"/>
      <c r="H116" s="629"/>
      <c r="I116" s="51">
        <f>ROUND(((($I$66+$I$66/3)*4/12)/12)*0.02,2)</f>
        <v>0.67</v>
      </c>
    </row>
    <row r="117" spans="1:11" ht="15.75" customHeight="1">
      <c r="A117" s="52" t="s">
        <v>261</v>
      </c>
      <c r="B117" s="532" t="s">
        <v>424</v>
      </c>
      <c r="C117" s="533"/>
      <c r="D117" s="533"/>
      <c r="E117" s="533"/>
      <c r="F117" s="533"/>
      <c r="G117" s="533"/>
      <c r="H117" s="629"/>
      <c r="I117" s="51">
        <f>ROUND(H103*I116,2)</f>
        <v>0.25</v>
      </c>
    </row>
    <row r="118" spans="1:11" ht="15.75" customHeight="1">
      <c r="A118" s="525" t="s">
        <v>134</v>
      </c>
      <c r="B118" s="650"/>
      <c r="C118" s="650"/>
      <c r="D118" s="650"/>
      <c r="E118" s="650"/>
      <c r="F118" s="650"/>
      <c r="G118" s="650"/>
      <c r="H118" s="388"/>
      <c r="I118" s="55">
        <f>SUM(I116:I117)</f>
        <v>0.92</v>
      </c>
    </row>
    <row r="119" spans="1:11" s="4" customFormat="1" ht="26.25" customHeight="1">
      <c r="A119" s="630" t="s">
        <v>369</v>
      </c>
      <c r="B119" s="631"/>
      <c r="C119" s="631"/>
      <c r="D119" s="631"/>
      <c r="E119" s="631"/>
      <c r="F119" s="631"/>
      <c r="G119" s="631"/>
      <c r="H119" s="631"/>
      <c r="I119" s="632"/>
    </row>
    <row r="120" spans="1:11" s="4" customFormat="1" ht="15.75" customHeight="1">
      <c r="A120" s="75" t="s">
        <v>283</v>
      </c>
      <c r="B120" s="542" t="s">
        <v>370</v>
      </c>
      <c r="C120" s="543"/>
      <c r="D120" s="543"/>
      <c r="E120" s="543"/>
      <c r="F120" s="543"/>
      <c r="G120" s="543"/>
      <c r="H120" s="544"/>
      <c r="I120" s="75" t="s">
        <v>127</v>
      </c>
    </row>
    <row r="121" spans="1:11" s="4" customFormat="1" ht="53.25" customHeight="1">
      <c r="A121" s="52" t="s">
        <v>259</v>
      </c>
      <c r="B121" s="545" t="s">
        <v>36</v>
      </c>
      <c r="C121" s="546"/>
      <c r="D121" s="546"/>
      <c r="E121" s="546"/>
      <c r="F121" s="546"/>
      <c r="G121" s="546"/>
      <c r="H121" s="547"/>
      <c r="I121" s="51">
        <f>ROUND((($I$66/12)+($I$109/12)+($I$131/12))*(30/30)*0.05,2)</f>
        <v>4.54</v>
      </c>
    </row>
    <row r="122" spans="1:11" s="4" customFormat="1" ht="15.75" customHeight="1">
      <c r="A122" s="52" t="s">
        <v>261</v>
      </c>
      <c r="B122" s="538" t="s">
        <v>371</v>
      </c>
      <c r="C122" s="538"/>
      <c r="D122" s="538"/>
      <c r="E122" s="538"/>
      <c r="F122" s="538"/>
      <c r="G122" s="538"/>
      <c r="H122" s="538"/>
      <c r="I122" s="51">
        <f>ROUND($H$100*I121,2)</f>
        <v>0.36</v>
      </c>
    </row>
    <row r="123" spans="1:11" s="4" customFormat="1" ht="24.75" customHeight="1">
      <c r="A123" s="52" t="s">
        <v>263</v>
      </c>
      <c r="B123" s="545" t="s">
        <v>456</v>
      </c>
      <c r="C123" s="546"/>
      <c r="D123" s="546"/>
      <c r="E123" s="546"/>
      <c r="F123" s="546"/>
      <c r="G123" s="546"/>
      <c r="H123" s="547"/>
      <c r="I123" s="51">
        <f>ROUND(0.08*0.5*($I$66+$I$109+$I$131)*0.05,2)</f>
        <v>2.1800000000000002</v>
      </c>
    </row>
    <row r="124" spans="1:11" s="4" customFormat="1" ht="29.25" customHeight="1">
      <c r="A124" s="52" t="s">
        <v>264</v>
      </c>
      <c r="B124" s="648" t="s">
        <v>27</v>
      </c>
      <c r="C124" s="538"/>
      <c r="D124" s="538"/>
      <c r="E124" s="538"/>
      <c r="F124" s="538"/>
      <c r="G124" s="538"/>
      <c r="H124" s="538"/>
      <c r="I124" s="51">
        <f>ROUND(((($I$66/30)*7)/$H$11)*0.9,2)</f>
        <v>15.83</v>
      </c>
    </row>
    <row r="125" spans="1:11" s="4" customFormat="1" ht="15.75" customHeight="1">
      <c r="A125" s="52" t="s">
        <v>272</v>
      </c>
      <c r="B125" s="538" t="s">
        <v>423</v>
      </c>
      <c r="C125" s="538"/>
      <c r="D125" s="538"/>
      <c r="E125" s="538"/>
      <c r="F125" s="538"/>
      <c r="G125" s="538"/>
      <c r="H125" s="538"/>
      <c r="I125" s="51">
        <f>ROUND($H$103*I124,2)</f>
        <v>5.83</v>
      </c>
    </row>
    <row r="126" spans="1:11" s="4" customFormat="1" ht="24.75" customHeight="1">
      <c r="A126" s="52" t="s">
        <v>273</v>
      </c>
      <c r="B126" s="545" t="s">
        <v>457</v>
      </c>
      <c r="C126" s="546"/>
      <c r="D126" s="546"/>
      <c r="E126" s="546"/>
      <c r="F126" s="546"/>
      <c r="G126" s="546"/>
      <c r="H126" s="547"/>
      <c r="I126" s="51">
        <f>ROUND(0.08*0.5*($I$66+$I$109+$I$131)*0.9,2)</f>
        <v>39.21</v>
      </c>
    </row>
    <row r="127" spans="1:11" s="4" customFormat="1" ht="15.75" customHeight="1">
      <c r="A127" s="548" t="s">
        <v>134</v>
      </c>
      <c r="B127" s="549"/>
      <c r="C127" s="549"/>
      <c r="D127" s="549"/>
      <c r="E127" s="549"/>
      <c r="F127" s="549"/>
      <c r="G127" s="549"/>
      <c r="H127" s="549"/>
      <c r="I127" s="55">
        <f>SUM(I121:I126)</f>
        <v>67.95</v>
      </c>
    </row>
    <row r="128" spans="1:11" ht="24" customHeight="1">
      <c r="A128" s="539" t="s">
        <v>349</v>
      </c>
      <c r="B128" s="540"/>
      <c r="C128" s="540"/>
      <c r="D128" s="540"/>
      <c r="E128" s="540"/>
      <c r="F128" s="540"/>
      <c r="G128" s="540"/>
      <c r="H128" s="540"/>
      <c r="I128" s="541"/>
    </row>
    <row r="129" spans="1:11" ht="36" customHeight="1">
      <c r="A129" s="214"/>
      <c r="B129" s="847" t="s">
        <v>394</v>
      </c>
      <c r="C129" s="847"/>
      <c r="D129" s="847"/>
      <c r="E129" s="847"/>
      <c r="F129" s="847"/>
      <c r="G129" s="847"/>
      <c r="H129" s="847"/>
      <c r="I129" s="215">
        <f>ROUND(SUM($I$66+$I$109+ROUND(($I$66/3)/12,2)),2)</f>
        <v>1005.33</v>
      </c>
    </row>
    <row r="130" spans="1:11" ht="15.75" customHeight="1">
      <c r="A130" s="77" t="s">
        <v>284</v>
      </c>
      <c r="B130" s="542" t="s">
        <v>350</v>
      </c>
      <c r="C130" s="543"/>
      <c r="D130" s="543"/>
      <c r="E130" s="543"/>
      <c r="F130" s="543"/>
      <c r="G130" s="543"/>
      <c r="H130" s="544"/>
      <c r="I130" s="77" t="s">
        <v>127</v>
      </c>
    </row>
    <row r="131" spans="1:11" ht="15.75" customHeight="1">
      <c r="A131" s="94" t="s">
        <v>259</v>
      </c>
      <c r="B131" s="545" t="s">
        <v>395</v>
      </c>
      <c r="C131" s="546"/>
      <c r="D131" s="546"/>
      <c r="E131" s="546"/>
      <c r="F131" s="546"/>
      <c r="G131" s="546"/>
      <c r="H131" s="547"/>
      <c r="I131" s="51">
        <f>ROUND($I$129/12,2)+ROUND(($I$66/3)/12,2)</f>
        <v>108.91</v>
      </c>
      <c r="K131" s="1">
        <f>904.8/3/12</f>
        <v>25.133333333333329</v>
      </c>
    </row>
    <row r="132" spans="1:11" ht="15.75" customHeight="1">
      <c r="A132" s="94" t="s">
        <v>261</v>
      </c>
      <c r="B132" s="538" t="s">
        <v>224</v>
      </c>
      <c r="C132" s="538"/>
      <c r="D132" s="538"/>
      <c r="E132" s="538"/>
      <c r="F132" s="538"/>
      <c r="G132" s="538"/>
      <c r="H132" s="538"/>
      <c r="I132" s="95">
        <f>ROUND(((($I$129/30)*5)/12),2)</f>
        <v>13.96</v>
      </c>
      <c r="K132" s="1">
        <f>904.8+75.4+25.13</f>
        <v>1005.3299999999999</v>
      </c>
    </row>
    <row r="133" spans="1:11" ht="15.75" customHeight="1">
      <c r="A133" s="94" t="s">
        <v>263</v>
      </c>
      <c r="B133" s="538" t="s">
        <v>396</v>
      </c>
      <c r="C133" s="538"/>
      <c r="D133" s="538"/>
      <c r="E133" s="538"/>
      <c r="F133" s="538"/>
      <c r="G133" s="538"/>
      <c r="H133" s="538"/>
      <c r="I133" s="95">
        <f>ROUND((($I$129/30)*5)/12*0.015,2)</f>
        <v>0.21</v>
      </c>
    </row>
    <row r="134" spans="1:11" ht="15.75" customHeight="1">
      <c r="A134" s="94" t="s">
        <v>264</v>
      </c>
      <c r="B134" s="538" t="s">
        <v>397</v>
      </c>
      <c r="C134" s="538"/>
      <c r="D134" s="538"/>
      <c r="E134" s="538"/>
      <c r="F134" s="538"/>
      <c r="G134" s="538"/>
      <c r="H134" s="538"/>
      <c r="I134" s="95">
        <f>ROUND((($I$129/30)*2.96)/12,2)</f>
        <v>8.27</v>
      </c>
    </row>
    <row r="135" spans="1:11" ht="15.75" customHeight="1">
      <c r="A135" s="94" t="s">
        <v>272</v>
      </c>
      <c r="B135" s="538" t="s">
        <v>113</v>
      </c>
      <c r="C135" s="538"/>
      <c r="D135" s="538"/>
      <c r="E135" s="538"/>
      <c r="F135" s="538"/>
      <c r="G135" s="538"/>
      <c r="H135" s="538"/>
      <c r="I135" s="96">
        <f>ROUND(((($I$129/30)*15)/12)*0.0078,2)</f>
        <v>0.33</v>
      </c>
    </row>
    <row r="136" spans="1:11" ht="15.75" customHeight="1">
      <c r="A136" s="94" t="s">
        <v>273</v>
      </c>
      <c r="B136" s="538" t="s">
        <v>126</v>
      </c>
      <c r="C136" s="538"/>
      <c r="D136" s="538"/>
      <c r="E136" s="538"/>
      <c r="F136" s="538"/>
      <c r="G136" s="538"/>
      <c r="H136" s="538"/>
      <c r="I136" s="96">
        <v>0</v>
      </c>
    </row>
    <row r="137" spans="1:11" ht="15.75" customHeight="1">
      <c r="A137" s="548" t="s">
        <v>281</v>
      </c>
      <c r="B137" s="548"/>
      <c r="C137" s="548"/>
      <c r="D137" s="548"/>
      <c r="E137" s="548"/>
      <c r="F137" s="548"/>
      <c r="G137" s="548"/>
      <c r="H137" s="548"/>
      <c r="I137" s="58">
        <f>SUM(I131:I136)</f>
        <v>131.68</v>
      </c>
    </row>
    <row r="138" spans="1:11" ht="18" customHeight="1">
      <c r="A138" s="94" t="s">
        <v>274</v>
      </c>
      <c r="B138" s="519" t="s">
        <v>425</v>
      </c>
      <c r="C138" s="520"/>
      <c r="D138" s="520"/>
      <c r="E138" s="520"/>
      <c r="F138" s="520"/>
      <c r="G138" s="520"/>
      <c r="H138" s="742"/>
      <c r="I138" s="96">
        <f>ROUND(H103*I137,2)</f>
        <v>48.46</v>
      </c>
    </row>
    <row r="139" spans="1:11" ht="15.75" customHeight="1">
      <c r="A139" s="548" t="s">
        <v>134</v>
      </c>
      <c r="B139" s="548"/>
      <c r="C139" s="548"/>
      <c r="D139" s="548"/>
      <c r="E139" s="548"/>
      <c r="F139" s="548"/>
      <c r="G139" s="548"/>
      <c r="H139" s="548"/>
      <c r="I139" s="55">
        <f>SUM(I137:I138)</f>
        <v>180.14000000000001</v>
      </c>
    </row>
    <row r="140" spans="1:11" ht="28.5" customHeight="1">
      <c r="A140" s="630" t="s">
        <v>373</v>
      </c>
      <c r="B140" s="631"/>
      <c r="C140" s="631"/>
      <c r="D140" s="631"/>
      <c r="E140" s="631"/>
      <c r="F140" s="631"/>
      <c r="G140" s="631"/>
      <c r="H140" s="631"/>
      <c r="I140" s="632"/>
    </row>
    <row r="141" spans="1:11" ht="15.75" customHeight="1">
      <c r="A141" s="75">
        <v>4</v>
      </c>
      <c r="B141" s="528" t="s">
        <v>372</v>
      </c>
      <c r="C141" s="529"/>
      <c r="D141" s="529"/>
      <c r="E141" s="529"/>
      <c r="F141" s="529"/>
      <c r="G141" s="529"/>
      <c r="H141" s="626"/>
      <c r="I141" s="75" t="s">
        <v>127</v>
      </c>
    </row>
    <row r="142" spans="1:11" ht="15.75" customHeight="1">
      <c r="A142" s="52" t="s">
        <v>279</v>
      </c>
      <c r="B142" s="507" t="s">
        <v>362</v>
      </c>
      <c r="C142" s="507"/>
      <c r="D142" s="507"/>
      <c r="E142" s="507"/>
      <c r="F142" s="507"/>
      <c r="G142" s="507"/>
      <c r="H142" s="507"/>
      <c r="I142" s="88">
        <f>I103</f>
        <v>332.96</v>
      </c>
    </row>
    <row r="143" spans="1:11" ht="15.75" customHeight="1">
      <c r="A143" s="52" t="s">
        <v>280</v>
      </c>
      <c r="B143" s="507" t="s">
        <v>367</v>
      </c>
      <c r="C143" s="507"/>
      <c r="D143" s="507"/>
      <c r="E143" s="507"/>
      <c r="F143" s="507"/>
      <c r="G143" s="507"/>
      <c r="H143" s="507"/>
      <c r="I143" s="88">
        <f>I112</f>
        <v>103.15</v>
      </c>
    </row>
    <row r="144" spans="1:11" ht="15.75" customHeight="1">
      <c r="A144" s="52" t="s">
        <v>282</v>
      </c>
      <c r="B144" s="507" t="s">
        <v>287</v>
      </c>
      <c r="C144" s="507"/>
      <c r="D144" s="507"/>
      <c r="E144" s="507"/>
      <c r="F144" s="507"/>
      <c r="G144" s="507"/>
      <c r="H144" s="507"/>
      <c r="I144" s="88">
        <f>I118</f>
        <v>0.92</v>
      </c>
    </row>
    <row r="145" spans="1:11" ht="15.75" customHeight="1">
      <c r="A145" s="52" t="s">
        <v>283</v>
      </c>
      <c r="B145" s="507" t="s">
        <v>288</v>
      </c>
      <c r="C145" s="507"/>
      <c r="D145" s="507"/>
      <c r="E145" s="507"/>
      <c r="F145" s="507"/>
      <c r="G145" s="507"/>
      <c r="H145" s="507"/>
      <c r="I145" s="88">
        <f>I127</f>
        <v>67.95</v>
      </c>
      <c r="K145" s="47"/>
    </row>
    <row r="146" spans="1:11" ht="15.75" customHeight="1">
      <c r="A146" s="52" t="s">
        <v>284</v>
      </c>
      <c r="B146" s="507" t="s">
        <v>289</v>
      </c>
      <c r="C146" s="507"/>
      <c r="D146" s="507"/>
      <c r="E146" s="507"/>
      <c r="F146" s="507"/>
      <c r="G146" s="507"/>
      <c r="H146" s="507"/>
      <c r="I146" s="88">
        <f>I139</f>
        <v>180.14000000000001</v>
      </c>
    </row>
    <row r="147" spans="1:11" ht="15.75" customHeight="1">
      <c r="A147" s="52" t="s">
        <v>286</v>
      </c>
      <c r="B147" s="507" t="s">
        <v>126</v>
      </c>
      <c r="C147" s="507"/>
      <c r="D147" s="507"/>
      <c r="E147" s="507"/>
      <c r="F147" s="507"/>
      <c r="G147" s="507"/>
      <c r="H147" s="507"/>
      <c r="I147" s="88">
        <v>0</v>
      </c>
    </row>
    <row r="148" spans="1:11" ht="15.75" customHeight="1">
      <c r="A148" s="525" t="s">
        <v>134</v>
      </c>
      <c r="B148" s="536"/>
      <c r="C148" s="536"/>
      <c r="D148" s="536"/>
      <c r="E148" s="536"/>
      <c r="F148" s="536"/>
      <c r="G148" s="536"/>
      <c r="H148" s="537"/>
      <c r="I148" s="55">
        <f>SUM(I142:I147)</f>
        <v>685.12</v>
      </c>
    </row>
    <row r="149" spans="1:11" s="4" customFormat="1" ht="29.25" customHeight="1">
      <c r="A149" s="707" t="s">
        <v>333</v>
      </c>
      <c r="B149" s="708"/>
      <c r="C149" s="708"/>
      <c r="D149" s="708"/>
      <c r="E149" s="708"/>
      <c r="F149" s="708"/>
      <c r="G149" s="708"/>
      <c r="H149" s="708"/>
      <c r="I149" s="708"/>
    </row>
    <row r="150" spans="1:11" ht="32.25" customHeight="1">
      <c r="A150" s="75">
        <v>5</v>
      </c>
      <c r="B150" s="542" t="s">
        <v>374</v>
      </c>
      <c r="C150" s="543"/>
      <c r="D150" s="543"/>
      <c r="E150" s="543"/>
      <c r="F150" s="543"/>
      <c r="G150" s="544"/>
      <c r="H150" s="53" t="s">
        <v>363</v>
      </c>
      <c r="I150" s="116" t="s">
        <v>388</v>
      </c>
    </row>
    <row r="151" spans="1:11" ht="40.5" customHeight="1">
      <c r="A151" s="728" t="s">
        <v>317</v>
      </c>
      <c r="B151" s="729"/>
      <c r="C151" s="729"/>
      <c r="D151" s="729"/>
      <c r="E151" s="729"/>
      <c r="F151" s="729"/>
      <c r="G151" s="730"/>
      <c r="H151" s="69" t="s">
        <v>227</v>
      </c>
      <c r="I151" s="97">
        <f>SUM(I66+I79+I89+I148)</f>
        <v>2198.21</v>
      </c>
    </row>
    <row r="152" spans="1:11" ht="15.75" customHeight="1">
      <c r="A152" s="115" t="s">
        <v>259</v>
      </c>
      <c r="B152" s="709" t="s">
        <v>375</v>
      </c>
      <c r="C152" s="709"/>
      <c r="D152" s="709"/>
      <c r="E152" s="709"/>
      <c r="F152" s="709"/>
      <c r="G152" s="709"/>
      <c r="H152" s="57">
        <v>0.03</v>
      </c>
      <c r="I152" s="51">
        <f>ROUND(H152*I151,2)</f>
        <v>65.95</v>
      </c>
    </row>
    <row r="153" spans="1:11" ht="37.5" customHeight="1">
      <c r="A153" s="728" t="s">
        <v>318</v>
      </c>
      <c r="B153" s="731"/>
      <c r="C153" s="731"/>
      <c r="D153" s="731"/>
      <c r="E153" s="731"/>
      <c r="F153" s="731"/>
      <c r="G153" s="732"/>
      <c r="H153" s="70" t="s">
        <v>227</v>
      </c>
      <c r="I153" s="97">
        <f>SUM(I66+I79+I89+I148+I152)</f>
        <v>2264.16</v>
      </c>
    </row>
    <row r="154" spans="1:11" ht="15.75" customHeight="1">
      <c r="A154" s="115" t="s">
        <v>261</v>
      </c>
      <c r="B154" s="709" t="s">
        <v>290</v>
      </c>
      <c r="C154" s="709"/>
      <c r="D154" s="709"/>
      <c r="E154" s="709"/>
      <c r="F154" s="709"/>
      <c r="G154" s="709"/>
      <c r="H154" s="57">
        <v>6.7900000000000002E-2</v>
      </c>
      <c r="I154" s="51">
        <f>ROUND(H154*I153,2)</f>
        <v>153.74</v>
      </c>
    </row>
    <row r="155" spans="1:11" ht="45" customHeight="1">
      <c r="A155" s="728" t="s">
        <v>336</v>
      </c>
      <c r="B155" s="731"/>
      <c r="C155" s="731"/>
      <c r="D155" s="731"/>
      <c r="E155" s="731"/>
      <c r="F155" s="731"/>
      <c r="G155" s="732"/>
      <c r="H155" s="70" t="s">
        <v>227</v>
      </c>
      <c r="I155" s="97">
        <f>SUM(I66+I79+I89+I148+I152+I154)</f>
        <v>2417.8999999999996</v>
      </c>
    </row>
    <row r="156" spans="1:11" ht="15.75" customHeight="1">
      <c r="A156" s="52" t="s">
        <v>263</v>
      </c>
      <c r="B156" s="738" t="s">
        <v>291</v>
      </c>
      <c r="C156" s="738"/>
      <c r="D156" s="738"/>
      <c r="E156" s="738"/>
      <c r="F156" s="738"/>
      <c r="G156" s="738"/>
      <c r="H156" s="72" t="s">
        <v>227</v>
      </c>
      <c r="I156" s="73" t="s">
        <v>227</v>
      </c>
    </row>
    <row r="157" spans="1:11" ht="15.75" customHeight="1">
      <c r="A157" s="52"/>
      <c r="B157" s="738" t="s">
        <v>376</v>
      </c>
      <c r="C157" s="738"/>
      <c r="D157" s="738"/>
      <c r="E157" s="738"/>
      <c r="F157" s="738"/>
      <c r="G157" s="738"/>
      <c r="H157" s="72" t="s">
        <v>227</v>
      </c>
      <c r="I157" s="73" t="s">
        <v>227</v>
      </c>
    </row>
    <row r="158" spans="1:11" ht="17.25" customHeight="1">
      <c r="A158" s="52"/>
      <c r="B158" s="733" t="s">
        <v>377</v>
      </c>
      <c r="C158" s="734"/>
      <c r="D158" s="734"/>
      <c r="E158" s="734"/>
      <c r="F158" s="734"/>
      <c r="G158" s="735"/>
      <c r="H158" s="48">
        <v>7.5999999999999998E-2</v>
      </c>
      <c r="I158" s="51">
        <f>ROUND(($I$155/(1-$H$166))*H158,2)</f>
        <v>208.23</v>
      </c>
    </row>
    <row r="159" spans="1:11" ht="16.5" customHeight="1">
      <c r="A159" s="52"/>
      <c r="B159" s="733" t="s">
        <v>378</v>
      </c>
      <c r="C159" s="734"/>
      <c r="D159" s="734"/>
      <c r="E159" s="734"/>
      <c r="F159" s="734"/>
      <c r="G159" s="735"/>
      <c r="H159" s="48">
        <v>1.6500000000000001E-2</v>
      </c>
      <c r="I159" s="51">
        <f>ROUND(($I$155/(1-$H$166))*H159,2)</f>
        <v>45.21</v>
      </c>
    </row>
    <row r="160" spans="1:11" ht="29.25" customHeight="1">
      <c r="A160" s="52"/>
      <c r="B160" s="728" t="s">
        <v>308</v>
      </c>
      <c r="C160" s="736"/>
      <c r="D160" s="736"/>
      <c r="E160" s="736"/>
      <c r="F160" s="736"/>
      <c r="G160" s="737"/>
      <c r="H160" s="71" t="s">
        <v>227</v>
      </c>
      <c r="I160" s="73" t="s">
        <v>227</v>
      </c>
    </row>
    <row r="161" spans="1:11" ht="18" customHeight="1">
      <c r="A161" s="52"/>
      <c r="B161" s="627" t="s">
        <v>380</v>
      </c>
      <c r="C161" s="628"/>
      <c r="D161" s="628"/>
      <c r="E161" s="628"/>
      <c r="F161" s="628"/>
      <c r="G161" s="628"/>
      <c r="H161" s="71" t="s">
        <v>227</v>
      </c>
      <c r="I161" s="73" t="s">
        <v>227</v>
      </c>
    </row>
    <row r="162" spans="1:11" ht="18" customHeight="1">
      <c r="A162" s="52"/>
      <c r="B162" s="545" t="s">
        <v>381</v>
      </c>
      <c r="C162" s="533"/>
      <c r="D162" s="533"/>
      <c r="E162" s="533"/>
      <c r="F162" s="533"/>
      <c r="G162" s="533"/>
      <c r="H162" s="71" t="s">
        <v>227</v>
      </c>
      <c r="I162" s="73" t="s">
        <v>227</v>
      </c>
    </row>
    <row r="163" spans="1:11" ht="15" customHeight="1">
      <c r="A163" s="52"/>
      <c r="B163" s="733" t="s">
        <v>379</v>
      </c>
      <c r="C163" s="734"/>
      <c r="D163" s="734"/>
      <c r="E163" s="734"/>
      <c r="F163" s="734"/>
      <c r="G163" s="735"/>
      <c r="H163" s="48">
        <v>2.5000000000000001E-2</v>
      </c>
      <c r="I163" s="51">
        <f>ROUND(($I$155/(1-$H$166))*H163,2)</f>
        <v>68.5</v>
      </c>
    </row>
    <row r="164" spans="1:11" ht="15.75" customHeight="1">
      <c r="A164" s="525" t="s">
        <v>134</v>
      </c>
      <c r="B164" s="536"/>
      <c r="C164" s="536"/>
      <c r="D164" s="536"/>
      <c r="E164" s="536"/>
      <c r="F164" s="536"/>
      <c r="G164" s="536"/>
      <c r="H164" s="537"/>
      <c r="I164" s="55">
        <f>SUM(I152+I154+I158+I159+I163)</f>
        <v>541.62999999999988</v>
      </c>
    </row>
    <row r="165" spans="1:11" ht="6.75" customHeight="1">
      <c r="A165" s="739"/>
      <c r="B165" s="740"/>
      <c r="C165" s="740"/>
      <c r="D165" s="740"/>
      <c r="E165" s="740"/>
      <c r="F165" s="740"/>
      <c r="G165" s="740"/>
      <c r="H165" s="740"/>
      <c r="I165" s="741"/>
    </row>
    <row r="166" spans="1:11" ht="15.75" customHeight="1">
      <c r="A166" s="705" t="s">
        <v>302</v>
      </c>
      <c r="B166" s="706"/>
      <c r="C166" s="706"/>
      <c r="D166" s="706"/>
      <c r="E166" s="706"/>
      <c r="F166" s="706"/>
      <c r="G166" s="706"/>
      <c r="H166" s="98">
        <f>SUM(H158:H163)</f>
        <v>0.11749999999999999</v>
      </c>
      <c r="I166" s="34">
        <f>SUM(I158:I163)</f>
        <v>321.94</v>
      </c>
    </row>
    <row r="167" spans="1:11" ht="12.75" customHeight="1">
      <c r="A167" s="695" t="s">
        <v>292</v>
      </c>
      <c r="B167" s="696"/>
      <c r="C167" s="703" t="s">
        <v>294</v>
      </c>
      <c r="D167" s="704"/>
      <c r="E167" s="704"/>
      <c r="F167" s="704"/>
      <c r="G167" s="704"/>
      <c r="H167" s="704"/>
      <c r="I167" s="704"/>
    </row>
    <row r="168" spans="1:11" ht="12" customHeight="1">
      <c r="A168" s="697"/>
      <c r="B168" s="698"/>
      <c r="C168" s="723" t="s">
        <v>293</v>
      </c>
      <c r="D168" s="724"/>
      <c r="E168" s="724"/>
      <c r="F168" s="724"/>
      <c r="G168" s="724"/>
      <c r="H168" s="724"/>
      <c r="I168" s="724"/>
    </row>
    <row r="169" spans="1:11" ht="13.5" customHeight="1">
      <c r="A169" s="699"/>
      <c r="B169" s="700"/>
      <c r="C169" s="725" t="s">
        <v>295</v>
      </c>
      <c r="D169" s="726"/>
      <c r="E169" s="726"/>
      <c r="F169" s="726"/>
      <c r="G169" s="726"/>
      <c r="H169" s="726"/>
      <c r="I169" s="726"/>
    </row>
    <row r="170" spans="1:11" ht="6.75" customHeight="1">
      <c r="A170" s="701"/>
      <c r="B170" s="702"/>
      <c r="C170" s="702"/>
      <c r="D170" s="702"/>
      <c r="E170" s="702"/>
      <c r="F170" s="702"/>
      <c r="G170" s="702"/>
      <c r="H170" s="702"/>
      <c r="I170" s="702"/>
    </row>
    <row r="171" spans="1:11" ht="32.25" customHeight="1">
      <c r="A171" s="545" t="s">
        <v>382</v>
      </c>
      <c r="B171" s="533"/>
      <c r="C171" s="533"/>
      <c r="D171" s="533"/>
      <c r="E171" s="533"/>
      <c r="F171" s="533"/>
      <c r="G171" s="533"/>
      <c r="H171" s="533"/>
      <c r="I171" s="629"/>
    </row>
    <row r="172" spans="1:11" ht="5.25" customHeight="1">
      <c r="A172" s="693"/>
      <c r="B172" s="694"/>
      <c r="C172" s="694"/>
      <c r="D172" s="694"/>
      <c r="E172" s="694"/>
      <c r="F172" s="694"/>
      <c r="G172" s="694"/>
      <c r="H172" s="694"/>
      <c r="I172" s="694"/>
    </row>
    <row r="173" spans="1:11" ht="45" customHeight="1">
      <c r="A173" s="748" t="s">
        <v>383</v>
      </c>
      <c r="B173" s="749"/>
      <c r="C173" s="749"/>
      <c r="D173" s="749"/>
      <c r="E173" s="749"/>
      <c r="F173" s="749"/>
      <c r="G173" s="749"/>
      <c r="H173" s="749"/>
      <c r="I173" s="750"/>
    </row>
    <row r="174" spans="1:11" ht="15" customHeight="1">
      <c r="A174" s="528" t="s">
        <v>114</v>
      </c>
      <c r="B174" s="746"/>
      <c r="C174" s="746"/>
      <c r="D174" s="746"/>
      <c r="E174" s="746"/>
      <c r="F174" s="746"/>
      <c r="G174" s="746"/>
      <c r="H174" s="747"/>
      <c r="I174" s="35" t="s">
        <v>127</v>
      </c>
    </row>
    <row r="175" spans="1:11" ht="15" customHeight="1">
      <c r="A175" s="99" t="s">
        <v>259</v>
      </c>
      <c r="B175" s="533" t="s">
        <v>384</v>
      </c>
      <c r="C175" s="533"/>
      <c r="D175" s="533"/>
      <c r="E175" s="533"/>
      <c r="F175" s="533"/>
      <c r="G175" s="533"/>
      <c r="H175" s="533"/>
      <c r="I175" s="90">
        <f>I66</f>
        <v>904.8</v>
      </c>
      <c r="K175" s="59"/>
    </row>
    <row r="176" spans="1:11" ht="15" customHeight="1">
      <c r="A176" s="99" t="s">
        <v>261</v>
      </c>
      <c r="B176" s="533" t="s">
        <v>101</v>
      </c>
      <c r="C176" s="533"/>
      <c r="D176" s="533"/>
      <c r="E176" s="533"/>
      <c r="F176" s="533"/>
      <c r="G176" s="533"/>
      <c r="H176" s="533"/>
      <c r="I176" s="90">
        <f>I79</f>
        <v>330.28999999999996</v>
      </c>
    </row>
    <row r="177" spans="1:9" ht="15" customHeight="1">
      <c r="A177" s="99" t="s">
        <v>263</v>
      </c>
      <c r="B177" s="533" t="s">
        <v>102</v>
      </c>
      <c r="C177" s="533"/>
      <c r="D177" s="533"/>
      <c r="E177" s="533"/>
      <c r="F177" s="533"/>
      <c r="G177" s="533"/>
      <c r="H177" s="533"/>
      <c r="I177" s="90">
        <f>I89</f>
        <v>278</v>
      </c>
    </row>
    <row r="178" spans="1:9" ht="15" customHeight="1">
      <c r="A178" s="99" t="s">
        <v>264</v>
      </c>
      <c r="B178" s="533" t="s">
        <v>372</v>
      </c>
      <c r="C178" s="533"/>
      <c r="D178" s="533"/>
      <c r="E178" s="533"/>
      <c r="F178" s="533"/>
      <c r="G178" s="533"/>
      <c r="H178" s="533"/>
      <c r="I178" s="90">
        <f>I148</f>
        <v>685.12</v>
      </c>
    </row>
    <row r="179" spans="1:9" ht="15" customHeight="1">
      <c r="A179" s="617" t="s">
        <v>115</v>
      </c>
      <c r="B179" s="387"/>
      <c r="C179" s="387"/>
      <c r="D179" s="387"/>
      <c r="E179" s="387"/>
      <c r="F179" s="387"/>
      <c r="G179" s="387"/>
      <c r="H179" s="387"/>
      <c r="I179" s="54">
        <f>SUM(I175:I178)</f>
        <v>2198.21</v>
      </c>
    </row>
    <row r="180" spans="1:9" ht="15" customHeight="1">
      <c r="A180" s="117" t="s">
        <v>272</v>
      </c>
      <c r="B180" s="533" t="s">
        <v>103</v>
      </c>
      <c r="C180" s="533"/>
      <c r="D180" s="533"/>
      <c r="E180" s="533"/>
      <c r="F180" s="533"/>
      <c r="G180" s="533"/>
      <c r="H180" s="533"/>
      <c r="I180" s="90">
        <f>I164</f>
        <v>541.62999999999988</v>
      </c>
    </row>
    <row r="181" spans="1:9" ht="15" customHeight="1">
      <c r="A181" s="617" t="s">
        <v>104</v>
      </c>
      <c r="B181" s="387"/>
      <c r="C181" s="387"/>
      <c r="D181" s="387"/>
      <c r="E181" s="387"/>
      <c r="F181" s="387"/>
      <c r="G181" s="387"/>
      <c r="H181" s="387"/>
      <c r="I181" s="54">
        <f>SUM(I179:I180)</f>
        <v>2739.84</v>
      </c>
    </row>
    <row r="182" spans="1:9" ht="30.75" customHeight="1">
      <c r="A182" s="755" t="s">
        <v>307</v>
      </c>
      <c r="B182" s="756"/>
      <c r="C182" s="756"/>
      <c r="D182" s="756"/>
      <c r="E182" s="756"/>
      <c r="F182" s="756"/>
      <c r="G182" s="756"/>
      <c r="H182" s="756"/>
      <c r="I182" s="757"/>
    </row>
    <row r="183" spans="1:9" ht="48.75" customHeight="1">
      <c r="A183" s="751" t="s">
        <v>105</v>
      </c>
      <c r="B183" s="752"/>
      <c r="C183" s="752"/>
      <c r="D183" s="752"/>
      <c r="E183" s="752"/>
      <c r="F183" s="752"/>
      <c r="G183" s="752"/>
      <c r="H183" s="752"/>
      <c r="I183" s="753"/>
    </row>
    <row r="184" spans="1:9" ht="63" customHeight="1">
      <c r="A184" s="758" t="s">
        <v>117</v>
      </c>
      <c r="B184" s="754"/>
      <c r="C184" s="754" t="s">
        <v>116</v>
      </c>
      <c r="D184" s="754"/>
      <c r="E184" s="104" t="s">
        <v>118</v>
      </c>
      <c r="F184" s="754" t="s">
        <v>119</v>
      </c>
      <c r="G184" s="754"/>
      <c r="H184" s="103" t="s">
        <v>120</v>
      </c>
      <c r="I184" s="103" t="s">
        <v>121</v>
      </c>
    </row>
    <row r="185" spans="1:9" ht="14.25" customHeight="1">
      <c r="A185" s="475" t="s">
        <v>122</v>
      </c>
      <c r="B185" s="535"/>
      <c r="C185" s="535" t="s">
        <v>305</v>
      </c>
      <c r="D185" s="535"/>
      <c r="E185" s="106"/>
      <c r="F185" s="535" t="s">
        <v>305</v>
      </c>
      <c r="G185" s="535"/>
      <c r="H185" s="107"/>
      <c r="I185" s="105" t="s">
        <v>305</v>
      </c>
    </row>
    <row r="186" spans="1:9" ht="15.75" customHeight="1">
      <c r="A186" s="475" t="s">
        <v>304</v>
      </c>
      <c r="B186" s="535"/>
      <c r="C186" s="535" t="s">
        <v>305</v>
      </c>
      <c r="D186" s="535"/>
      <c r="E186" s="106"/>
      <c r="F186" s="535" t="s">
        <v>305</v>
      </c>
      <c r="G186" s="535"/>
      <c r="H186" s="107"/>
      <c r="I186" s="105" t="s">
        <v>305</v>
      </c>
    </row>
    <row r="187" spans="1:9" ht="12.75">
      <c r="A187" s="475" t="s">
        <v>303</v>
      </c>
      <c r="B187" s="535"/>
      <c r="C187" s="535" t="s">
        <v>305</v>
      </c>
      <c r="D187" s="535"/>
      <c r="E187" s="105"/>
      <c r="F187" s="535" t="s">
        <v>305</v>
      </c>
      <c r="G187" s="535"/>
      <c r="H187" s="105"/>
      <c r="I187" s="105" t="s">
        <v>305</v>
      </c>
    </row>
    <row r="188" spans="1:9" ht="12.75">
      <c r="A188" s="462" t="s">
        <v>106</v>
      </c>
      <c r="B188" s="463"/>
      <c r="C188" s="463"/>
      <c r="D188" s="463"/>
      <c r="E188" s="463"/>
      <c r="F188" s="463"/>
      <c r="G188" s="463"/>
      <c r="H188" s="463"/>
      <c r="I188" s="105"/>
    </row>
    <row r="189" spans="1:9" ht="42" customHeight="1">
      <c r="A189" s="751" t="s">
        <v>107</v>
      </c>
      <c r="B189" s="523"/>
      <c r="C189" s="523"/>
      <c r="D189" s="523"/>
      <c r="E189" s="523"/>
      <c r="F189" s="523"/>
      <c r="G189" s="523"/>
      <c r="H189" s="523"/>
      <c r="I189" s="524"/>
    </row>
    <row r="190" spans="1:9" ht="21.75" customHeight="1">
      <c r="A190" s="751" t="s">
        <v>108</v>
      </c>
      <c r="B190" s="523"/>
      <c r="C190" s="523"/>
      <c r="D190" s="523"/>
      <c r="E190" s="523"/>
      <c r="F190" s="523"/>
      <c r="G190" s="523"/>
      <c r="H190" s="523"/>
      <c r="I190" s="524"/>
    </row>
    <row r="191" spans="1:9" ht="18" customHeight="1">
      <c r="A191" s="522" t="s">
        <v>123</v>
      </c>
      <c r="B191" s="523"/>
      <c r="C191" s="523"/>
      <c r="D191" s="523"/>
      <c r="E191" s="523"/>
      <c r="F191" s="523"/>
      <c r="G191" s="523"/>
      <c r="H191" s="524"/>
      <c r="I191" s="103" t="s">
        <v>127</v>
      </c>
    </row>
    <row r="192" spans="1:9" ht="12.75">
      <c r="A192" s="743" t="s">
        <v>390</v>
      </c>
      <c r="B192" s="734"/>
      <c r="C192" s="734"/>
      <c r="D192" s="734"/>
      <c r="E192" s="734"/>
      <c r="F192" s="734"/>
      <c r="G192" s="734"/>
      <c r="H192" s="735"/>
      <c r="I192" s="105"/>
    </row>
    <row r="193" spans="1:13" ht="12.75">
      <c r="A193" s="743" t="s">
        <v>124</v>
      </c>
      <c r="B193" s="734"/>
      <c r="C193" s="734"/>
      <c r="D193" s="734"/>
      <c r="E193" s="734"/>
      <c r="F193" s="734"/>
      <c r="G193" s="734"/>
      <c r="H193" s="735"/>
      <c r="I193" s="105"/>
    </row>
    <row r="194" spans="1:13" ht="21" customHeight="1">
      <c r="A194" s="743" t="s">
        <v>389</v>
      </c>
      <c r="B194" s="744"/>
      <c r="C194" s="744"/>
      <c r="D194" s="744"/>
      <c r="E194" s="744"/>
      <c r="F194" s="744"/>
      <c r="G194" s="744"/>
      <c r="H194" s="745"/>
      <c r="I194" s="105"/>
    </row>
    <row r="195" spans="1:13" ht="6.75" customHeight="1">
      <c r="A195" s="477"/>
      <c r="B195" s="478"/>
      <c r="C195" s="478"/>
      <c r="D195" s="478"/>
      <c r="E195" s="478"/>
      <c r="F195" s="478"/>
      <c r="G195" s="478"/>
      <c r="H195" s="478"/>
      <c r="I195" s="479"/>
    </row>
    <row r="196" spans="1:13" ht="15.75" customHeight="1">
      <c r="A196" s="475" t="s">
        <v>109</v>
      </c>
      <c r="B196" s="476"/>
      <c r="C196" s="476"/>
      <c r="D196" s="476"/>
      <c r="E196" s="476"/>
      <c r="F196" s="476"/>
      <c r="G196" s="476"/>
      <c r="H196" s="476"/>
      <c r="I196" s="476"/>
    </row>
    <row r="197" spans="1:13" ht="7.5" customHeight="1">
      <c r="A197" s="460"/>
      <c r="B197" s="461"/>
      <c r="C197" s="461"/>
      <c r="D197" s="461"/>
      <c r="E197" s="461"/>
      <c r="F197" s="461"/>
      <c r="G197" s="461"/>
      <c r="H197" s="461"/>
      <c r="I197" s="461"/>
    </row>
    <row r="198" spans="1:13" ht="15" hidden="1" customHeight="1">
      <c r="A198" s="26"/>
      <c r="B198" s="26"/>
      <c r="C198" s="26"/>
      <c r="D198" s="26"/>
      <c r="E198" s="26"/>
      <c r="F198" s="26"/>
      <c r="G198" s="26"/>
      <c r="H198" s="24"/>
      <c r="I198" s="41"/>
      <c r="J198" s="16"/>
      <c r="K198" s="9"/>
      <c r="L198" s="3"/>
      <c r="M198" s="10"/>
    </row>
    <row r="199" spans="1:13" ht="24" customHeight="1">
      <c r="A199" s="480" t="s">
        <v>306</v>
      </c>
      <c r="B199" s="480"/>
      <c r="C199" s="480"/>
      <c r="D199" s="480"/>
      <c r="E199" s="480"/>
      <c r="F199" s="480"/>
      <c r="G199" s="480"/>
      <c r="H199" s="480"/>
      <c r="I199" s="481"/>
    </row>
    <row r="200" spans="1:13" ht="15.75">
      <c r="A200" s="609" t="s">
        <v>162</v>
      </c>
      <c r="B200" s="609"/>
      <c r="C200" s="609"/>
      <c r="D200" s="609"/>
      <c r="E200" s="609"/>
      <c r="F200" s="609"/>
      <c r="G200" s="609"/>
      <c r="H200" s="609"/>
      <c r="I200" s="610"/>
    </row>
    <row r="201" spans="1:13" ht="11.45" customHeight="1">
      <c r="A201" s="19"/>
      <c r="B201" s="19"/>
      <c r="C201" s="19"/>
      <c r="D201" s="19"/>
      <c r="E201" s="19"/>
      <c r="F201" s="19"/>
      <c r="G201" s="19"/>
      <c r="H201" s="19"/>
      <c r="I201" s="38"/>
    </row>
    <row r="202" spans="1:13" ht="21" customHeight="1">
      <c r="A202" s="482" t="s">
        <v>110</v>
      </c>
      <c r="B202" s="482"/>
      <c r="C202" s="482"/>
      <c r="D202" s="482"/>
      <c r="E202" s="482"/>
      <c r="F202" s="482"/>
      <c r="G202" s="482"/>
      <c r="H202" s="482"/>
      <c r="I202" s="481"/>
    </row>
    <row r="203" spans="1:13" ht="48" customHeight="1">
      <c r="A203" s="611" t="s">
        <v>391</v>
      </c>
      <c r="B203" s="611"/>
      <c r="C203" s="611"/>
      <c r="D203" s="611"/>
      <c r="E203" s="611"/>
      <c r="F203" s="611"/>
      <c r="G203" s="611"/>
      <c r="H203" s="611"/>
      <c r="I203" s="612"/>
    </row>
    <row r="204" spans="1:13" ht="45" customHeight="1">
      <c r="A204" s="579" t="s">
        <v>225</v>
      </c>
      <c r="B204" s="447"/>
      <c r="C204" s="400" t="s">
        <v>148</v>
      </c>
      <c r="D204" s="400"/>
      <c r="E204" s="400" t="s">
        <v>149</v>
      </c>
      <c r="F204" s="400"/>
      <c r="G204" s="338" t="s">
        <v>150</v>
      </c>
      <c r="H204" s="339"/>
      <c r="I204" s="340"/>
    </row>
    <row r="205" spans="1:13" ht="14.25" customHeight="1">
      <c r="A205" s="366" t="s">
        <v>229</v>
      </c>
      <c r="B205" s="367"/>
      <c r="C205" s="613" t="s">
        <v>185</v>
      </c>
      <c r="D205" s="613"/>
      <c r="E205" s="341">
        <v>0</v>
      </c>
      <c r="F205" s="341"/>
      <c r="G205" s="345">
        <v>0</v>
      </c>
      <c r="H205" s="346"/>
      <c r="I205" s="337"/>
    </row>
    <row r="206" spans="1:13" ht="12" customHeight="1">
      <c r="A206" s="366" t="s">
        <v>230</v>
      </c>
      <c r="B206" s="367"/>
      <c r="C206" s="356" t="s">
        <v>186</v>
      </c>
      <c r="D206" s="356"/>
      <c r="E206" s="351">
        <f>I181</f>
        <v>2739.84</v>
      </c>
      <c r="F206" s="352"/>
      <c r="G206" s="357">
        <f>ROUND((1/600)*E206,2)</f>
        <v>4.57</v>
      </c>
      <c r="H206" s="358"/>
      <c r="I206" s="340"/>
    </row>
    <row r="207" spans="1:13" ht="12" customHeight="1">
      <c r="A207" s="370" t="s">
        <v>134</v>
      </c>
      <c r="B207" s="371"/>
      <c r="C207" s="372"/>
      <c r="D207" s="372"/>
      <c r="E207" s="372"/>
      <c r="F207" s="373"/>
      <c r="G207" s="357">
        <f>SUM(G205+G206)</f>
        <v>4.57</v>
      </c>
      <c r="H207" s="358"/>
      <c r="I207" s="340"/>
    </row>
    <row r="208" spans="1:13" ht="6.75" customHeight="1">
      <c r="A208" s="464"/>
      <c r="B208" s="465"/>
      <c r="C208" s="466"/>
      <c r="D208" s="466"/>
      <c r="E208" s="466"/>
      <c r="F208" s="466"/>
      <c r="G208" s="466"/>
      <c r="H208" s="466"/>
      <c r="I208" s="467"/>
    </row>
    <row r="209" spans="1:256" ht="12" customHeight="1">
      <c r="A209" s="595" t="s">
        <v>231</v>
      </c>
      <c r="B209" s="596"/>
      <c r="C209" s="353" t="s">
        <v>185</v>
      </c>
      <c r="D209" s="353"/>
      <c r="E209" s="344">
        <v>0</v>
      </c>
      <c r="F209" s="344"/>
      <c r="G209" s="345">
        <v>0</v>
      </c>
      <c r="H209" s="346"/>
      <c r="I209" s="337"/>
    </row>
    <row r="210" spans="1:256" ht="12.75">
      <c r="A210" s="366" t="s">
        <v>232</v>
      </c>
      <c r="B210" s="367"/>
      <c r="C210" s="356" t="s">
        <v>186</v>
      </c>
      <c r="D210" s="356"/>
      <c r="E210" s="341">
        <f>I181</f>
        <v>2739.84</v>
      </c>
      <c r="F210" s="341"/>
      <c r="G210" s="591">
        <f>ROUND((1/600)*E210,2)</f>
        <v>4.57</v>
      </c>
      <c r="H210" s="592"/>
      <c r="I210" s="337"/>
    </row>
    <row r="211" spans="1:256" ht="12.75">
      <c r="A211" s="362" t="s">
        <v>134</v>
      </c>
      <c r="B211" s="363"/>
      <c r="C211" s="364"/>
      <c r="D211" s="364"/>
      <c r="E211" s="364"/>
      <c r="F211" s="365"/>
      <c r="G211" s="357">
        <f>SUM(G209+G210)</f>
        <v>4.57</v>
      </c>
      <c r="H211" s="358"/>
      <c r="I211" s="340"/>
    </row>
    <row r="212" spans="1:256" ht="6.75" customHeight="1">
      <c r="A212" s="464"/>
      <c r="B212" s="465"/>
      <c r="C212" s="407"/>
      <c r="D212" s="407"/>
      <c r="E212" s="407"/>
      <c r="F212" s="407"/>
      <c r="G212" s="407"/>
      <c r="H212" s="407"/>
      <c r="I212" s="467"/>
      <c r="K212" s="8"/>
    </row>
    <row r="213" spans="1:256" ht="12.75">
      <c r="A213" s="355" t="s">
        <v>245</v>
      </c>
      <c r="B213" s="355"/>
      <c r="C213" s="353" t="s">
        <v>311</v>
      </c>
      <c r="D213" s="353"/>
      <c r="E213" s="588">
        <v>0</v>
      </c>
      <c r="F213" s="588"/>
      <c r="G213" s="356">
        <v>0</v>
      </c>
      <c r="H213" s="356"/>
      <c r="I213" s="397"/>
    </row>
    <row r="214" spans="1:256" ht="12.75">
      <c r="A214" s="368" t="s">
        <v>233</v>
      </c>
      <c r="B214" s="368"/>
      <c r="C214" s="356" t="s">
        <v>187</v>
      </c>
      <c r="D214" s="356"/>
      <c r="E214" s="342">
        <v>0</v>
      </c>
      <c r="F214" s="343"/>
      <c r="G214" s="356">
        <v>0</v>
      </c>
      <c r="H214" s="468"/>
      <c r="I214" s="397"/>
    </row>
    <row r="215" spans="1:256" ht="12.75">
      <c r="A215" s="362" t="s">
        <v>134</v>
      </c>
      <c r="B215" s="363"/>
      <c r="C215" s="364"/>
      <c r="D215" s="364"/>
      <c r="E215" s="364"/>
      <c r="F215" s="365"/>
      <c r="G215" s="469">
        <f>SUM(G213+G214)</f>
        <v>0</v>
      </c>
      <c r="H215" s="470"/>
      <c r="I215" s="471"/>
    </row>
    <row r="216" spans="1:256" ht="6" customHeight="1">
      <c r="A216" s="472"/>
      <c r="B216" s="472"/>
      <c r="C216" s="473"/>
      <c r="D216" s="473"/>
      <c r="E216" s="473"/>
      <c r="F216" s="473"/>
      <c r="G216" s="473"/>
      <c r="H216" s="473"/>
      <c r="I216" s="474"/>
    </row>
    <row r="217" spans="1:256" ht="13.5" customHeight="1">
      <c r="A217" s="354" t="s">
        <v>246</v>
      </c>
      <c r="B217" s="355"/>
      <c r="C217" s="353" t="s">
        <v>188</v>
      </c>
      <c r="D217" s="353"/>
      <c r="E217" s="344">
        <v>0</v>
      </c>
      <c r="F217" s="344"/>
      <c r="G217" s="345">
        <v>0</v>
      </c>
      <c r="H217" s="346"/>
      <c r="I217" s="337"/>
      <c r="J217" s="454"/>
      <c r="K217" s="454"/>
      <c r="L217" s="454"/>
      <c r="M217" s="454"/>
      <c r="N217" s="454"/>
      <c r="O217" s="454"/>
      <c r="P217" s="454"/>
      <c r="Q217" s="410" t="s">
        <v>165</v>
      </c>
      <c r="R217" s="410"/>
      <c r="S217" s="410"/>
      <c r="T217" s="410"/>
      <c r="U217" s="410"/>
      <c r="V217" s="410"/>
      <c r="W217" s="410"/>
      <c r="X217" s="410"/>
      <c r="Y217" s="410" t="s">
        <v>165</v>
      </c>
      <c r="Z217" s="410"/>
      <c r="AA217" s="410"/>
      <c r="AB217" s="410"/>
      <c r="AC217" s="410"/>
      <c r="AD217" s="410"/>
      <c r="AE217" s="410"/>
      <c r="AF217" s="410"/>
      <c r="AG217" s="410" t="s">
        <v>165</v>
      </c>
      <c r="AH217" s="410"/>
      <c r="AI217" s="410"/>
      <c r="AJ217" s="410"/>
      <c r="AK217" s="410"/>
      <c r="AL217" s="410"/>
      <c r="AM217" s="410"/>
      <c r="AN217" s="410"/>
      <c r="AO217" s="410" t="s">
        <v>165</v>
      </c>
      <c r="AP217" s="410"/>
      <c r="AQ217" s="410"/>
      <c r="AR217" s="410"/>
      <c r="AS217" s="410"/>
      <c r="AT217" s="410"/>
      <c r="AU217" s="410"/>
      <c r="AV217" s="410"/>
      <c r="AW217" s="410" t="s">
        <v>165</v>
      </c>
      <c r="AX217" s="410"/>
      <c r="AY217" s="410"/>
      <c r="AZ217" s="410"/>
      <c r="BA217" s="410"/>
      <c r="BB217" s="410"/>
      <c r="BC217" s="410"/>
      <c r="BD217" s="410"/>
      <c r="BE217" s="410" t="s">
        <v>165</v>
      </c>
      <c r="BF217" s="410"/>
      <c r="BG217" s="410"/>
      <c r="BH217" s="410"/>
      <c r="BI217" s="410"/>
      <c r="BJ217" s="410"/>
      <c r="BK217" s="410"/>
      <c r="BL217" s="410"/>
      <c r="BM217" s="410" t="s">
        <v>165</v>
      </c>
      <c r="BN217" s="410"/>
      <c r="BO217" s="410"/>
      <c r="BP217" s="410"/>
      <c r="BQ217" s="410"/>
      <c r="BR217" s="410"/>
      <c r="BS217" s="410"/>
      <c r="BT217" s="410"/>
      <c r="BU217" s="410" t="s">
        <v>165</v>
      </c>
      <c r="BV217" s="410"/>
      <c r="BW217" s="410"/>
      <c r="BX217" s="410"/>
      <c r="BY217" s="413"/>
      <c r="BZ217" s="414"/>
      <c r="CA217" s="414"/>
      <c r="CB217" s="414"/>
      <c r="CC217" s="410" t="s">
        <v>165</v>
      </c>
      <c r="CD217" s="410"/>
      <c r="CE217" s="410"/>
      <c r="CF217" s="410"/>
      <c r="CG217" s="410"/>
      <c r="CH217" s="410"/>
      <c r="CI217" s="410"/>
      <c r="CJ217" s="410"/>
      <c r="CK217" s="410" t="s">
        <v>165</v>
      </c>
      <c r="CL217" s="410"/>
      <c r="CM217" s="410"/>
      <c r="CN217" s="410"/>
      <c r="CO217" s="410"/>
      <c r="CP217" s="410"/>
      <c r="CQ217" s="410"/>
      <c r="CR217" s="410"/>
      <c r="CS217" s="410" t="s">
        <v>165</v>
      </c>
      <c r="CT217" s="410"/>
      <c r="CU217" s="410"/>
      <c r="CV217" s="410"/>
      <c r="CW217" s="410"/>
      <c r="CX217" s="410"/>
      <c r="CY217" s="410"/>
      <c r="CZ217" s="410"/>
      <c r="DA217" s="410" t="s">
        <v>165</v>
      </c>
      <c r="DB217" s="410"/>
      <c r="DC217" s="410"/>
      <c r="DD217" s="410"/>
      <c r="DE217" s="410"/>
      <c r="DF217" s="410"/>
      <c r="DG217" s="410"/>
      <c r="DH217" s="410"/>
      <c r="DI217" s="410" t="s">
        <v>165</v>
      </c>
      <c r="DJ217" s="410"/>
      <c r="DK217" s="410"/>
      <c r="DL217" s="410"/>
      <c r="DM217" s="410"/>
      <c r="DN217" s="410"/>
      <c r="DO217" s="410"/>
      <c r="DP217" s="410"/>
      <c r="DQ217" s="410" t="s">
        <v>165</v>
      </c>
      <c r="DR217" s="410"/>
      <c r="DS217" s="410"/>
      <c r="DT217" s="410"/>
      <c r="DU217" s="410"/>
      <c r="DV217" s="410"/>
      <c r="DW217" s="410"/>
      <c r="DX217" s="410"/>
      <c r="DY217" s="410" t="s">
        <v>165</v>
      </c>
      <c r="DZ217" s="410"/>
      <c r="EA217" s="410"/>
      <c r="EB217" s="410"/>
      <c r="EC217" s="410"/>
      <c r="ED217" s="410"/>
      <c r="EE217" s="410"/>
      <c r="EF217" s="410"/>
      <c r="EG217" s="410" t="s">
        <v>165</v>
      </c>
      <c r="EH217" s="410"/>
      <c r="EI217" s="410"/>
      <c r="EJ217" s="410"/>
      <c r="EK217" s="410"/>
      <c r="EL217" s="410"/>
      <c r="EM217" s="410"/>
      <c r="EN217" s="410"/>
      <c r="EO217" s="410" t="s">
        <v>165</v>
      </c>
      <c r="EP217" s="410"/>
      <c r="EQ217" s="410"/>
      <c r="ER217" s="410"/>
      <c r="ES217" s="410"/>
      <c r="ET217" s="410"/>
      <c r="EU217" s="410"/>
      <c r="EV217" s="410"/>
      <c r="EW217" s="410" t="s">
        <v>165</v>
      </c>
      <c r="EX217" s="410"/>
      <c r="EY217" s="410"/>
      <c r="EZ217" s="410"/>
      <c r="FA217" s="410"/>
      <c r="FB217" s="410"/>
      <c r="FC217" s="410"/>
      <c r="FD217" s="410"/>
      <c r="FE217" s="410" t="s">
        <v>165</v>
      </c>
      <c r="FF217" s="410"/>
      <c r="FG217" s="410"/>
      <c r="FH217" s="410"/>
      <c r="FI217" s="410"/>
      <c r="FJ217" s="410"/>
      <c r="FK217" s="410"/>
      <c r="FL217" s="410"/>
      <c r="FM217" s="410" t="s">
        <v>165</v>
      </c>
      <c r="FN217" s="410"/>
      <c r="FO217" s="410"/>
      <c r="FP217" s="410"/>
      <c r="FQ217" s="410"/>
      <c r="FR217" s="410"/>
      <c r="FS217" s="410"/>
      <c r="FT217" s="410"/>
      <c r="FU217" s="410" t="s">
        <v>165</v>
      </c>
      <c r="FV217" s="410"/>
      <c r="FW217" s="410"/>
      <c r="FX217" s="410"/>
      <c r="FY217" s="410"/>
      <c r="FZ217" s="410"/>
      <c r="GA217" s="410"/>
      <c r="GB217" s="410"/>
      <c r="GC217" s="410" t="s">
        <v>165</v>
      </c>
      <c r="GD217" s="410"/>
      <c r="GE217" s="410"/>
      <c r="GF217" s="410"/>
      <c r="GG217" s="410"/>
      <c r="GH217" s="410"/>
      <c r="GI217" s="410"/>
      <c r="GJ217" s="410"/>
      <c r="GK217" s="410" t="s">
        <v>165</v>
      </c>
      <c r="GL217" s="410"/>
      <c r="GM217" s="410"/>
      <c r="GN217" s="410"/>
      <c r="GO217" s="410"/>
      <c r="GP217" s="410"/>
      <c r="GQ217" s="410"/>
      <c r="GR217" s="410"/>
      <c r="GS217" s="410" t="s">
        <v>165</v>
      </c>
      <c r="GT217" s="410"/>
      <c r="GU217" s="410"/>
      <c r="GV217" s="410"/>
      <c r="GW217" s="410"/>
      <c r="GX217" s="410"/>
      <c r="GY217" s="410"/>
      <c r="GZ217" s="410"/>
      <c r="HA217" s="410" t="s">
        <v>165</v>
      </c>
      <c r="HB217" s="410"/>
      <c r="HC217" s="410"/>
      <c r="HD217" s="410"/>
      <c r="HE217" s="410"/>
      <c r="HF217" s="410"/>
      <c r="HG217" s="410"/>
      <c r="HH217" s="410"/>
      <c r="HI217" s="410" t="s">
        <v>165</v>
      </c>
      <c r="HJ217" s="410"/>
      <c r="HK217" s="410"/>
      <c r="HL217" s="410"/>
      <c r="HM217" s="410"/>
      <c r="HN217" s="410"/>
      <c r="HO217" s="410"/>
      <c r="HP217" s="410"/>
      <c r="HQ217" s="410" t="s">
        <v>165</v>
      </c>
      <c r="HR217" s="410"/>
      <c r="HS217" s="410"/>
      <c r="HT217" s="410"/>
      <c r="HU217" s="410"/>
      <c r="HV217" s="410"/>
      <c r="HW217" s="410"/>
      <c r="HX217" s="410"/>
      <c r="HY217" s="410" t="s">
        <v>165</v>
      </c>
      <c r="HZ217" s="410"/>
      <c r="IA217" s="410"/>
      <c r="IB217" s="410"/>
      <c r="IC217" s="410"/>
      <c r="ID217" s="410"/>
      <c r="IE217" s="410"/>
      <c r="IF217" s="410"/>
      <c r="IG217" s="410" t="s">
        <v>165</v>
      </c>
      <c r="IH217" s="410"/>
      <c r="II217" s="410"/>
      <c r="IJ217" s="410"/>
      <c r="IK217" s="410"/>
      <c r="IL217" s="410"/>
      <c r="IM217" s="410"/>
      <c r="IN217" s="410"/>
      <c r="IO217" s="410" t="s">
        <v>165</v>
      </c>
      <c r="IP217" s="410"/>
      <c r="IQ217" s="410"/>
      <c r="IR217" s="410"/>
      <c r="IS217" s="410"/>
      <c r="IT217" s="410"/>
      <c r="IU217" s="410"/>
      <c r="IV217" s="410"/>
    </row>
    <row r="218" spans="1:256" ht="13.5" customHeight="1">
      <c r="A218" s="432" t="s">
        <v>319</v>
      </c>
      <c r="B218" s="433"/>
      <c r="C218" s="356" t="s">
        <v>189</v>
      </c>
      <c r="D218" s="356"/>
      <c r="E218" s="351">
        <f>I181</f>
        <v>2739.84</v>
      </c>
      <c r="F218" s="352"/>
      <c r="G218" s="345">
        <f>ROUND((1/1350)*E218,2)</f>
        <v>2.0299999999999998</v>
      </c>
      <c r="H218" s="359"/>
      <c r="I218" s="337"/>
      <c r="J218" s="455"/>
      <c r="K218" s="455"/>
      <c r="L218" s="456"/>
      <c r="M218" s="457"/>
      <c r="N218" s="457"/>
      <c r="O218" s="457"/>
      <c r="P218" s="457"/>
      <c r="Q218" s="417" t="s">
        <v>164</v>
      </c>
      <c r="R218" s="411"/>
      <c r="S218" s="411"/>
      <c r="T218" s="412" t="s">
        <v>160</v>
      </c>
      <c r="U218" s="413"/>
      <c r="V218" s="414"/>
      <c r="W218" s="414"/>
      <c r="X218" s="414"/>
      <c r="Y218" s="411" t="s">
        <v>164</v>
      </c>
      <c r="Z218" s="411"/>
      <c r="AA218" s="411"/>
      <c r="AB218" s="412" t="s">
        <v>160</v>
      </c>
      <c r="AC218" s="413"/>
      <c r="AD218" s="414"/>
      <c r="AE218" s="414"/>
      <c r="AF218" s="414"/>
      <c r="AG218" s="411" t="s">
        <v>164</v>
      </c>
      <c r="AH218" s="411"/>
      <c r="AI218" s="411"/>
      <c r="AJ218" s="412" t="s">
        <v>160</v>
      </c>
      <c r="AK218" s="413"/>
      <c r="AL218" s="414"/>
      <c r="AM218" s="414"/>
      <c r="AN218" s="414"/>
      <c r="AO218" s="411" t="s">
        <v>164</v>
      </c>
      <c r="AP218" s="411"/>
      <c r="AQ218" s="411"/>
      <c r="AR218" s="412" t="s">
        <v>160</v>
      </c>
      <c r="AS218" s="413"/>
      <c r="AT218" s="414"/>
      <c r="AU218" s="414"/>
      <c r="AV218" s="414"/>
      <c r="AW218" s="411" t="s">
        <v>164</v>
      </c>
      <c r="AX218" s="411"/>
      <c r="AY218" s="411"/>
      <c r="AZ218" s="412" t="s">
        <v>160</v>
      </c>
      <c r="BA218" s="413"/>
      <c r="BB218" s="414"/>
      <c r="BC218" s="414"/>
      <c r="BD218" s="414"/>
      <c r="BE218" s="411" t="s">
        <v>164</v>
      </c>
      <c r="BF218" s="411"/>
      <c r="BG218" s="411"/>
      <c r="BH218" s="412" t="s">
        <v>160</v>
      </c>
      <c r="BI218" s="413"/>
      <c r="BJ218" s="414"/>
      <c r="BK218" s="414"/>
      <c r="BL218" s="414"/>
      <c r="BM218" s="411" t="s">
        <v>164</v>
      </c>
      <c r="BN218" s="411"/>
      <c r="BO218" s="411"/>
      <c r="BP218" s="412" t="s">
        <v>160</v>
      </c>
      <c r="BQ218" s="413"/>
      <c r="BR218" s="414"/>
      <c r="BS218" s="414"/>
      <c r="BT218" s="414"/>
      <c r="BU218" s="411" t="s">
        <v>164</v>
      </c>
      <c r="BV218" s="411"/>
      <c r="BW218" s="411"/>
      <c r="BX218" s="412" t="s">
        <v>160</v>
      </c>
      <c r="BY218" s="413"/>
      <c r="BZ218" s="414"/>
      <c r="CA218" s="414"/>
      <c r="CB218" s="414"/>
      <c r="CC218" s="411" t="s">
        <v>164</v>
      </c>
      <c r="CD218" s="411"/>
      <c r="CE218" s="411"/>
      <c r="CF218" s="412" t="s">
        <v>160</v>
      </c>
      <c r="CG218" s="413"/>
      <c r="CH218" s="414"/>
      <c r="CI218" s="414"/>
      <c r="CJ218" s="414"/>
      <c r="CK218" s="411" t="s">
        <v>164</v>
      </c>
      <c r="CL218" s="411"/>
      <c r="CM218" s="411"/>
      <c r="CN218" s="412" t="s">
        <v>160</v>
      </c>
      <c r="CO218" s="413"/>
      <c r="CP218" s="414"/>
      <c r="CQ218" s="414"/>
      <c r="CR218" s="414"/>
      <c r="CS218" s="411" t="s">
        <v>164</v>
      </c>
      <c r="CT218" s="411"/>
      <c r="CU218" s="411"/>
      <c r="CV218" s="412" t="s">
        <v>160</v>
      </c>
      <c r="CW218" s="413"/>
      <c r="CX218" s="414"/>
      <c r="CY218" s="414"/>
      <c r="CZ218" s="414"/>
      <c r="DA218" s="411" t="s">
        <v>164</v>
      </c>
      <c r="DB218" s="411"/>
      <c r="DC218" s="411"/>
      <c r="DD218" s="412" t="s">
        <v>160</v>
      </c>
      <c r="DE218" s="413"/>
      <c r="DF218" s="414"/>
      <c r="DG218" s="414"/>
      <c r="DH218" s="414"/>
      <c r="DI218" s="411" t="s">
        <v>164</v>
      </c>
      <c r="DJ218" s="411"/>
      <c r="DK218" s="411"/>
      <c r="DL218" s="412" t="s">
        <v>160</v>
      </c>
      <c r="DM218" s="413"/>
      <c r="DN218" s="414"/>
      <c r="DO218" s="414"/>
      <c r="DP218" s="414"/>
      <c r="DQ218" s="411" t="s">
        <v>164</v>
      </c>
      <c r="DR218" s="411"/>
      <c r="DS218" s="411"/>
      <c r="DT218" s="412" t="s">
        <v>160</v>
      </c>
      <c r="DU218" s="413"/>
      <c r="DV218" s="414"/>
      <c r="DW218" s="414"/>
      <c r="DX218" s="414"/>
      <c r="DY218" s="411" t="s">
        <v>164</v>
      </c>
      <c r="DZ218" s="411"/>
      <c r="EA218" s="411"/>
      <c r="EB218" s="412" t="s">
        <v>160</v>
      </c>
      <c r="EC218" s="413"/>
      <c r="ED218" s="414"/>
      <c r="EE218" s="414"/>
      <c r="EF218" s="414"/>
      <c r="EG218" s="411" t="s">
        <v>164</v>
      </c>
      <c r="EH218" s="411"/>
      <c r="EI218" s="411"/>
      <c r="EJ218" s="412" t="s">
        <v>160</v>
      </c>
      <c r="EK218" s="413"/>
      <c r="EL218" s="414"/>
      <c r="EM218" s="414"/>
      <c r="EN218" s="414"/>
      <c r="EO218" s="411" t="s">
        <v>164</v>
      </c>
      <c r="EP218" s="411"/>
      <c r="EQ218" s="411"/>
      <c r="ER218" s="412" t="s">
        <v>160</v>
      </c>
      <c r="ES218" s="413"/>
      <c r="ET218" s="414"/>
      <c r="EU218" s="414"/>
      <c r="EV218" s="414"/>
      <c r="EW218" s="411" t="s">
        <v>164</v>
      </c>
      <c r="EX218" s="411"/>
      <c r="EY218" s="411"/>
      <c r="EZ218" s="412" t="s">
        <v>160</v>
      </c>
      <c r="FA218" s="413"/>
      <c r="FB218" s="414"/>
      <c r="FC218" s="414"/>
      <c r="FD218" s="414"/>
      <c r="FE218" s="411" t="s">
        <v>164</v>
      </c>
      <c r="FF218" s="411"/>
      <c r="FG218" s="411"/>
      <c r="FH218" s="412" t="s">
        <v>160</v>
      </c>
      <c r="FI218" s="413"/>
      <c r="FJ218" s="414"/>
      <c r="FK218" s="414"/>
      <c r="FL218" s="414"/>
      <c r="FM218" s="411" t="s">
        <v>164</v>
      </c>
      <c r="FN218" s="411"/>
      <c r="FO218" s="411"/>
      <c r="FP218" s="412" t="s">
        <v>160</v>
      </c>
      <c r="FQ218" s="413"/>
      <c r="FR218" s="414"/>
      <c r="FS218" s="414"/>
      <c r="FT218" s="414"/>
      <c r="FU218" s="411" t="s">
        <v>164</v>
      </c>
      <c r="FV218" s="411"/>
      <c r="FW218" s="411"/>
      <c r="FX218" s="412" t="s">
        <v>160</v>
      </c>
      <c r="FY218" s="413"/>
      <c r="FZ218" s="414"/>
      <c r="GA218" s="414"/>
      <c r="GB218" s="414"/>
      <c r="GC218" s="411" t="s">
        <v>164</v>
      </c>
      <c r="GD218" s="411"/>
      <c r="GE218" s="411"/>
      <c r="GF218" s="412" t="s">
        <v>160</v>
      </c>
      <c r="GG218" s="413"/>
      <c r="GH218" s="414"/>
      <c r="GI218" s="414"/>
      <c r="GJ218" s="414"/>
      <c r="GK218" s="411" t="s">
        <v>164</v>
      </c>
      <c r="GL218" s="411"/>
      <c r="GM218" s="411"/>
      <c r="GN218" s="412" t="s">
        <v>160</v>
      </c>
      <c r="GO218" s="413"/>
      <c r="GP218" s="414"/>
      <c r="GQ218" s="414"/>
      <c r="GR218" s="414"/>
      <c r="GS218" s="411" t="s">
        <v>164</v>
      </c>
      <c r="GT218" s="411"/>
      <c r="GU218" s="411"/>
      <c r="GV218" s="412" t="s">
        <v>160</v>
      </c>
      <c r="GW218" s="413"/>
      <c r="GX218" s="414"/>
      <c r="GY218" s="414"/>
      <c r="GZ218" s="414"/>
      <c r="HA218" s="411" t="s">
        <v>164</v>
      </c>
      <c r="HB218" s="411"/>
      <c r="HC218" s="411"/>
      <c r="HD218" s="412" t="s">
        <v>160</v>
      </c>
      <c r="HE218" s="413"/>
      <c r="HF218" s="414"/>
      <c r="HG218" s="414"/>
      <c r="HH218" s="414"/>
      <c r="HI218" s="411" t="s">
        <v>164</v>
      </c>
      <c r="HJ218" s="411"/>
      <c r="HK218" s="411"/>
      <c r="HL218" s="412" t="s">
        <v>160</v>
      </c>
      <c r="HM218" s="413"/>
      <c r="HN218" s="414"/>
      <c r="HO218" s="414"/>
      <c r="HP218" s="414"/>
      <c r="HQ218" s="411" t="s">
        <v>164</v>
      </c>
      <c r="HR218" s="411"/>
      <c r="HS218" s="411"/>
      <c r="HT218" s="412" t="s">
        <v>160</v>
      </c>
      <c r="HU218" s="413"/>
      <c r="HV218" s="414"/>
      <c r="HW218" s="414"/>
      <c r="HX218" s="414"/>
      <c r="HY218" s="411" t="s">
        <v>164</v>
      </c>
      <c r="HZ218" s="411"/>
      <c r="IA218" s="411"/>
      <c r="IB218" s="412" t="s">
        <v>160</v>
      </c>
      <c r="IC218" s="413"/>
      <c r="ID218" s="414"/>
      <c r="IE218" s="414"/>
      <c r="IF218" s="414"/>
      <c r="IG218" s="411" t="s">
        <v>164</v>
      </c>
      <c r="IH218" s="411"/>
      <c r="II218" s="411"/>
      <c r="IJ218" s="412" t="s">
        <v>160</v>
      </c>
      <c r="IK218" s="413"/>
      <c r="IL218" s="414"/>
      <c r="IM218" s="414"/>
      <c r="IN218" s="414"/>
      <c r="IO218" s="411" t="s">
        <v>164</v>
      </c>
      <c r="IP218" s="411"/>
      <c r="IQ218" s="411"/>
      <c r="IR218" s="412" t="s">
        <v>160</v>
      </c>
      <c r="IS218" s="413"/>
      <c r="IT218" s="414"/>
      <c r="IU218" s="414"/>
      <c r="IV218" s="414"/>
    </row>
    <row r="219" spans="1:256" ht="13.5" customHeight="1">
      <c r="A219" s="362" t="s">
        <v>134</v>
      </c>
      <c r="B219" s="363"/>
      <c r="C219" s="364"/>
      <c r="D219" s="364"/>
      <c r="E219" s="364"/>
      <c r="F219" s="365"/>
      <c r="G219" s="357">
        <f>SUM(G217+G218)</f>
        <v>2.0299999999999998</v>
      </c>
      <c r="H219" s="358"/>
      <c r="I219" s="431"/>
      <c r="J219" s="455"/>
      <c r="K219" s="455"/>
      <c r="L219" s="456"/>
      <c r="M219" s="457"/>
      <c r="N219" s="457"/>
      <c r="O219" s="457"/>
      <c r="P219" s="457"/>
      <c r="Q219" s="416"/>
      <c r="R219" s="416"/>
      <c r="S219" s="417"/>
      <c r="T219" s="412"/>
      <c r="U219" s="413"/>
      <c r="V219" s="414"/>
      <c r="W219" s="414"/>
      <c r="X219" s="414"/>
      <c r="Y219" s="415"/>
      <c r="Z219" s="416"/>
      <c r="AA219" s="417"/>
      <c r="AB219" s="412"/>
      <c r="AC219" s="413"/>
      <c r="AD219" s="414"/>
      <c r="AE219" s="414"/>
      <c r="AF219" s="414"/>
      <c r="AG219" s="415"/>
      <c r="AH219" s="416"/>
      <c r="AI219" s="417"/>
      <c r="AJ219" s="412"/>
      <c r="AK219" s="413"/>
      <c r="AL219" s="414"/>
      <c r="AM219" s="414"/>
      <c r="AN219" s="414"/>
      <c r="AO219" s="415"/>
      <c r="AP219" s="416"/>
      <c r="AQ219" s="417"/>
      <c r="AR219" s="412"/>
      <c r="AS219" s="413"/>
      <c r="AT219" s="414"/>
      <c r="AU219" s="414"/>
      <c r="AV219" s="414"/>
      <c r="AW219" s="415"/>
      <c r="AX219" s="416"/>
      <c r="AY219" s="417"/>
      <c r="AZ219" s="412"/>
      <c r="BA219" s="413"/>
      <c r="BB219" s="414"/>
      <c r="BC219" s="414"/>
      <c r="BD219" s="414"/>
      <c r="BE219" s="415"/>
      <c r="BF219" s="416"/>
      <c r="BG219" s="417"/>
      <c r="BH219" s="412"/>
      <c r="BI219" s="413"/>
      <c r="BJ219" s="414"/>
      <c r="BK219" s="414"/>
      <c r="BL219" s="414"/>
      <c r="BM219" s="415"/>
      <c r="BN219" s="416"/>
      <c r="BO219" s="417"/>
      <c r="BP219" s="412"/>
      <c r="BQ219" s="413"/>
      <c r="BR219" s="414"/>
      <c r="BS219" s="414"/>
      <c r="BT219" s="414"/>
      <c r="BU219" s="415"/>
      <c r="BV219" s="416"/>
      <c r="BW219" s="417"/>
      <c r="BX219" s="412"/>
      <c r="BY219" s="413"/>
      <c r="BZ219" s="414"/>
      <c r="CA219" s="414"/>
      <c r="CB219" s="414"/>
      <c r="CC219" s="415"/>
      <c r="CD219" s="416"/>
      <c r="CE219" s="417"/>
      <c r="CF219" s="412"/>
      <c r="CG219" s="413"/>
      <c r="CH219" s="414"/>
      <c r="CI219" s="414"/>
      <c r="CJ219" s="414"/>
      <c r="CK219" s="415"/>
      <c r="CL219" s="416"/>
      <c r="CM219" s="417"/>
      <c r="CN219" s="412"/>
      <c r="CO219" s="413"/>
      <c r="CP219" s="414"/>
      <c r="CQ219" s="414"/>
      <c r="CR219" s="414"/>
      <c r="CS219" s="415"/>
      <c r="CT219" s="416"/>
      <c r="CU219" s="417"/>
      <c r="CV219" s="412"/>
      <c r="CW219" s="413"/>
      <c r="CX219" s="414"/>
      <c r="CY219" s="414"/>
      <c r="CZ219" s="414"/>
      <c r="DA219" s="415"/>
      <c r="DB219" s="416"/>
      <c r="DC219" s="417"/>
      <c r="DD219" s="412"/>
      <c r="DE219" s="413"/>
      <c r="DF219" s="414"/>
      <c r="DG219" s="414"/>
      <c r="DH219" s="414"/>
      <c r="DI219" s="415"/>
      <c r="DJ219" s="416"/>
      <c r="DK219" s="417"/>
      <c r="DL219" s="412"/>
      <c r="DM219" s="413"/>
      <c r="DN219" s="414"/>
      <c r="DO219" s="414"/>
      <c r="DP219" s="414"/>
      <c r="DQ219" s="415"/>
      <c r="DR219" s="416"/>
      <c r="DS219" s="417"/>
      <c r="DT219" s="412"/>
      <c r="DU219" s="413"/>
      <c r="DV219" s="414"/>
      <c r="DW219" s="414"/>
      <c r="DX219" s="414"/>
      <c r="DY219" s="415"/>
      <c r="DZ219" s="416"/>
      <c r="EA219" s="417"/>
      <c r="EB219" s="412"/>
      <c r="EC219" s="413"/>
      <c r="ED219" s="414"/>
      <c r="EE219" s="414"/>
      <c r="EF219" s="414"/>
      <c r="EG219" s="415"/>
      <c r="EH219" s="416"/>
      <c r="EI219" s="417"/>
      <c r="EJ219" s="412"/>
      <c r="EK219" s="413"/>
      <c r="EL219" s="414"/>
      <c r="EM219" s="414"/>
      <c r="EN219" s="414"/>
      <c r="EO219" s="415"/>
      <c r="EP219" s="416"/>
      <c r="EQ219" s="417"/>
      <c r="ER219" s="412"/>
      <c r="ES219" s="413"/>
      <c r="ET219" s="414"/>
      <c r="EU219" s="414"/>
      <c r="EV219" s="414"/>
      <c r="EW219" s="415"/>
      <c r="EX219" s="416"/>
      <c r="EY219" s="417"/>
      <c r="EZ219" s="412"/>
      <c r="FA219" s="413"/>
      <c r="FB219" s="414"/>
      <c r="FC219" s="414"/>
      <c r="FD219" s="414"/>
      <c r="FE219" s="415"/>
      <c r="FF219" s="416"/>
      <c r="FG219" s="417"/>
      <c r="FH219" s="412"/>
      <c r="FI219" s="413"/>
      <c r="FJ219" s="414"/>
      <c r="FK219" s="414"/>
      <c r="FL219" s="414"/>
      <c r="FM219" s="415"/>
      <c r="FN219" s="416"/>
      <c r="FO219" s="417"/>
      <c r="FP219" s="412"/>
      <c r="FQ219" s="413"/>
      <c r="FR219" s="414"/>
      <c r="FS219" s="414"/>
      <c r="FT219" s="414"/>
      <c r="FU219" s="415"/>
      <c r="FV219" s="416"/>
      <c r="FW219" s="417"/>
      <c r="FX219" s="412"/>
      <c r="FY219" s="413"/>
      <c r="FZ219" s="414"/>
      <c r="GA219" s="414"/>
      <c r="GB219" s="414"/>
      <c r="GC219" s="415"/>
      <c r="GD219" s="416"/>
      <c r="GE219" s="417"/>
      <c r="GF219" s="412"/>
      <c r="GG219" s="413"/>
      <c r="GH219" s="414"/>
      <c r="GI219" s="414"/>
      <c r="GJ219" s="414"/>
      <c r="GK219" s="415"/>
      <c r="GL219" s="416"/>
      <c r="GM219" s="417"/>
      <c r="GN219" s="412"/>
      <c r="GO219" s="413"/>
      <c r="GP219" s="414"/>
      <c r="GQ219" s="414"/>
      <c r="GR219" s="414"/>
      <c r="GS219" s="415"/>
      <c r="GT219" s="416"/>
      <c r="GU219" s="417"/>
      <c r="GV219" s="412"/>
      <c r="GW219" s="413"/>
      <c r="GX219" s="414"/>
      <c r="GY219" s="414"/>
      <c r="GZ219" s="414"/>
      <c r="HA219" s="415"/>
      <c r="HB219" s="416"/>
      <c r="HC219" s="417"/>
      <c r="HD219" s="412"/>
      <c r="HE219" s="413"/>
      <c r="HF219" s="414"/>
      <c r="HG219" s="414"/>
      <c r="HH219" s="414"/>
      <c r="HI219" s="415"/>
      <c r="HJ219" s="416"/>
      <c r="HK219" s="417"/>
      <c r="HL219" s="412"/>
      <c r="HM219" s="413"/>
      <c r="HN219" s="414"/>
      <c r="HO219" s="414"/>
      <c r="HP219" s="414"/>
      <c r="HQ219" s="415"/>
      <c r="HR219" s="416"/>
      <c r="HS219" s="417"/>
      <c r="HT219" s="412"/>
      <c r="HU219" s="413"/>
      <c r="HV219" s="414"/>
      <c r="HW219" s="414"/>
      <c r="HX219" s="414"/>
      <c r="HY219" s="415"/>
      <c r="HZ219" s="416"/>
      <c r="IA219" s="417"/>
      <c r="IB219" s="412"/>
      <c r="IC219" s="413"/>
      <c r="ID219" s="414"/>
      <c r="IE219" s="414"/>
      <c r="IF219" s="414"/>
      <c r="IG219" s="415"/>
      <c r="IH219" s="416"/>
      <c r="II219" s="417"/>
      <c r="IJ219" s="412"/>
      <c r="IK219" s="413"/>
      <c r="IL219" s="414"/>
      <c r="IM219" s="414"/>
      <c r="IN219" s="414"/>
      <c r="IO219" s="415"/>
      <c r="IP219" s="416"/>
      <c r="IQ219" s="417"/>
      <c r="IR219" s="412"/>
      <c r="IS219" s="413"/>
      <c r="IT219" s="414"/>
      <c r="IU219" s="414"/>
      <c r="IV219" s="414"/>
    </row>
    <row r="220" spans="1:256" ht="6.75" customHeight="1">
      <c r="A220" s="589"/>
      <c r="B220" s="590"/>
      <c r="C220" s="407"/>
      <c r="D220" s="407"/>
      <c r="E220" s="407"/>
      <c r="F220" s="407"/>
      <c r="G220" s="407"/>
      <c r="H220" s="407"/>
      <c r="I220" s="467"/>
      <c r="J220" s="458"/>
      <c r="K220" s="458"/>
      <c r="L220" s="459"/>
      <c r="M220" s="457"/>
      <c r="N220" s="457"/>
      <c r="O220" s="457"/>
      <c r="P220" s="457"/>
      <c r="Q220" s="419" t="s">
        <v>159</v>
      </c>
      <c r="R220" s="419"/>
      <c r="S220" s="420"/>
      <c r="T220" s="421"/>
      <c r="U220" s="413"/>
      <c r="V220" s="414"/>
      <c r="W220" s="414"/>
      <c r="X220" s="414"/>
      <c r="Y220" s="418" t="s">
        <v>159</v>
      </c>
      <c r="Z220" s="419"/>
      <c r="AA220" s="420"/>
      <c r="AB220" s="421"/>
      <c r="AC220" s="413"/>
      <c r="AD220" s="414"/>
      <c r="AE220" s="414"/>
      <c r="AF220" s="414"/>
      <c r="AG220" s="418" t="s">
        <v>159</v>
      </c>
      <c r="AH220" s="419"/>
      <c r="AI220" s="420"/>
      <c r="AJ220" s="421"/>
      <c r="AK220" s="413"/>
      <c r="AL220" s="414"/>
      <c r="AM220" s="414"/>
      <c r="AN220" s="414"/>
      <c r="AO220" s="418" t="s">
        <v>159</v>
      </c>
      <c r="AP220" s="419"/>
      <c r="AQ220" s="420"/>
      <c r="AR220" s="421"/>
      <c r="AS220" s="413"/>
      <c r="AT220" s="414"/>
      <c r="AU220" s="414"/>
      <c r="AV220" s="414"/>
      <c r="AW220" s="418" t="s">
        <v>159</v>
      </c>
      <c r="AX220" s="419"/>
      <c r="AY220" s="420"/>
      <c r="AZ220" s="421"/>
      <c r="BA220" s="413"/>
      <c r="BB220" s="414"/>
      <c r="BC220" s="414"/>
      <c r="BD220" s="414"/>
      <c r="BE220" s="418" t="s">
        <v>159</v>
      </c>
      <c r="BF220" s="419"/>
      <c r="BG220" s="420"/>
      <c r="BH220" s="421"/>
      <c r="BI220" s="413"/>
      <c r="BJ220" s="414"/>
      <c r="BK220" s="414"/>
      <c r="BL220" s="414"/>
      <c r="BM220" s="418" t="s">
        <v>159</v>
      </c>
      <c r="BN220" s="419"/>
      <c r="BO220" s="420"/>
      <c r="BP220" s="421"/>
      <c r="BQ220" s="413"/>
      <c r="BR220" s="414"/>
      <c r="BS220" s="414"/>
      <c r="BT220" s="414"/>
      <c r="BU220" s="418" t="s">
        <v>159</v>
      </c>
      <c r="BV220" s="419"/>
      <c r="BW220" s="420"/>
      <c r="BX220" s="421"/>
      <c r="BY220" s="413"/>
      <c r="BZ220" s="414"/>
      <c r="CA220" s="414"/>
      <c r="CB220" s="414"/>
      <c r="CC220" s="418" t="s">
        <v>159</v>
      </c>
      <c r="CD220" s="419"/>
      <c r="CE220" s="420"/>
      <c r="CF220" s="421"/>
      <c r="CG220" s="413"/>
      <c r="CH220" s="414"/>
      <c r="CI220" s="414"/>
      <c r="CJ220" s="414"/>
      <c r="CK220" s="418" t="s">
        <v>159</v>
      </c>
      <c r="CL220" s="419"/>
      <c r="CM220" s="420"/>
      <c r="CN220" s="421"/>
      <c r="CO220" s="413"/>
      <c r="CP220" s="414"/>
      <c r="CQ220" s="414"/>
      <c r="CR220" s="414"/>
      <c r="CS220" s="418" t="s">
        <v>159</v>
      </c>
      <c r="CT220" s="419"/>
      <c r="CU220" s="420"/>
      <c r="CV220" s="421"/>
      <c r="CW220" s="413"/>
      <c r="CX220" s="414"/>
      <c r="CY220" s="414"/>
      <c r="CZ220" s="414"/>
      <c r="DA220" s="418" t="s">
        <v>159</v>
      </c>
      <c r="DB220" s="419"/>
      <c r="DC220" s="420"/>
      <c r="DD220" s="421"/>
      <c r="DE220" s="413"/>
      <c r="DF220" s="414"/>
      <c r="DG220" s="414"/>
      <c r="DH220" s="414"/>
      <c r="DI220" s="418" t="s">
        <v>159</v>
      </c>
      <c r="DJ220" s="419"/>
      <c r="DK220" s="420"/>
      <c r="DL220" s="421"/>
      <c r="DM220" s="413"/>
      <c r="DN220" s="414"/>
      <c r="DO220" s="414"/>
      <c r="DP220" s="414"/>
      <c r="DQ220" s="418" t="s">
        <v>159</v>
      </c>
      <c r="DR220" s="419"/>
      <c r="DS220" s="420"/>
      <c r="DT220" s="421"/>
      <c r="DU220" s="413"/>
      <c r="DV220" s="414"/>
      <c r="DW220" s="414"/>
      <c r="DX220" s="414"/>
      <c r="DY220" s="418" t="s">
        <v>159</v>
      </c>
      <c r="DZ220" s="419"/>
      <c r="EA220" s="420"/>
      <c r="EB220" s="421"/>
      <c r="EC220" s="413"/>
      <c r="ED220" s="414"/>
      <c r="EE220" s="414"/>
      <c r="EF220" s="414"/>
      <c r="EG220" s="418" t="s">
        <v>159</v>
      </c>
      <c r="EH220" s="419"/>
      <c r="EI220" s="420"/>
      <c r="EJ220" s="421"/>
      <c r="EK220" s="413"/>
      <c r="EL220" s="414"/>
      <c r="EM220" s="414"/>
      <c r="EN220" s="414"/>
      <c r="EO220" s="418" t="s">
        <v>159</v>
      </c>
      <c r="EP220" s="419"/>
      <c r="EQ220" s="420"/>
      <c r="ER220" s="421"/>
      <c r="ES220" s="413"/>
      <c r="ET220" s="414"/>
      <c r="EU220" s="414"/>
      <c r="EV220" s="414"/>
      <c r="EW220" s="418" t="s">
        <v>159</v>
      </c>
      <c r="EX220" s="419"/>
      <c r="EY220" s="420"/>
      <c r="EZ220" s="421"/>
      <c r="FA220" s="413"/>
      <c r="FB220" s="414"/>
      <c r="FC220" s="414"/>
      <c r="FD220" s="414"/>
      <c r="FE220" s="418" t="s">
        <v>159</v>
      </c>
      <c r="FF220" s="419"/>
      <c r="FG220" s="420"/>
      <c r="FH220" s="421"/>
      <c r="FI220" s="413"/>
      <c r="FJ220" s="414"/>
      <c r="FK220" s="414"/>
      <c r="FL220" s="414"/>
      <c r="FM220" s="418" t="s">
        <v>159</v>
      </c>
      <c r="FN220" s="419"/>
      <c r="FO220" s="420"/>
      <c r="FP220" s="421"/>
      <c r="FQ220" s="413"/>
      <c r="FR220" s="414"/>
      <c r="FS220" s="414"/>
      <c r="FT220" s="414"/>
      <c r="FU220" s="418" t="s">
        <v>159</v>
      </c>
      <c r="FV220" s="419"/>
      <c r="FW220" s="420"/>
      <c r="FX220" s="421"/>
      <c r="FY220" s="413"/>
      <c r="FZ220" s="414"/>
      <c r="GA220" s="414"/>
      <c r="GB220" s="414"/>
      <c r="GC220" s="418" t="s">
        <v>159</v>
      </c>
      <c r="GD220" s="419"/>
      <c r="GE220" s="420"/>
      <c r="GF220" s="421"/>
      <c r="GG220" s="413"/>
      <c r="GH220" s="414"/>
      <c r="GI220" s="414"/>
      <c r="GJ220" s="414"/>
      <c r="GK220" s="418" t="s">
        <v>159</v>
      </c>
      <c r="GL220" s="419"/>
      <c r="GM220" s="420"/>
      <c r="GN220" s="421"/>
      <c r="GO220" s="413"/>
      <c r="GP220" s="414"/>
      <c r="GQ220" s="414"/>
      <c r="GR220" s="414"/>
      <c r="GS220" s="418" t="s">
        <v>159</v>
      </c>
      <c r="GT220" s="419"/>
      <c r="GU220" s="420"/>
      <c r="GV220" s="421"/>
      <c r="GW220" s="413"/>
      <c r="GX220" s="414"/>
      <c r="GY220" s="414"/>
      <c r="GZ220" s="414"/>
      <c r="HA220" s="418" t="s">
        <v>159</v>
      </c>
      <c r="HB220" s="419"/>
      <c r="HC220" s="420"/>
      <c r="HD220" s="421"/>
      <c r="HE220" s="413"/>
      <c r="HF220" s="414"/>
      <c r="HG220" s="414"/>
      <c r="HH220" s="414"/>
      <c r="HI220" s="418" t="s">
        <v>159</v>
      </c>
      <c r="HJ220" s="419"/>
      <c r="HK220" s="420"/>
      <c r="HL220" s="421"/>
      <c r="HM220" s="413"/>
      <c r="HN220" s="414"/>
      <c r="HO220" s="414"/>
      <c r="HP220" s="414"/>
      <c r="HQ220" s="418" t="s">
        <v>159</v>
      </c>
      <c r="HR220" s="419"/>
      <c r="HS220" s="420"/>
      <c r="HT220" s="421"/>
      <c r="HU220" s="413"/>
      <c r="HV220" s="414"/>
      <c r="HW220" s="414"/>
      <c r="HX220" s="414"/>
      <c r="HY220" s="418" t="s">
        <v>159</v>
      </c>
      <c r="HZ220" s="419"/>
      <c r="IA220" s="420"/>
      <c r="IB220" s="421"/>
      <c r="IC220" s="413"/>
      <c r="ID220" s="414"/>
      <c r="IE220" s="414"/>
      <c r="IF220" s="414"/>
      <c r="IG220" s="418" t="s">
        <v>159</v>
      </c>
      <c r="IH220" s="419"/>
      <c r="II220" s="420"/>
      <c r="IJ220" s="421"/>
      <c r="IK220" s="413"/>
      <c r="IL220" s="414"/>
      <c r="IM220" s="414"/>
      <c r="IN220" s="414"/>
      <c r="IO220" s="418" t="s">
        <v>159</v>
      </c>
      <c r="IP220" s="419"/>
      <c r="IQ220" s="420"/>
      <c r="IR220" s="421"/>
      <c r="IS220" s="413"/>
      <c r="IT220" s="414"/>
      <c r="IU220" s="414"/>
      <c r="IV220" s="414"/>
    </row>
    <row r="221" spans="1:256" ht="12.75">
      <c r="A221" s="355" t="s">
        <v>247</v>
      </c>
      <c r="B221" s="355"/>
      <c r="C221" s="353" t="s">
        <v>190</v>
      </c>
      <c r="D221" s="353"/>
      <c r="E221" s="588">
        <v>0</v>
      </c>
      <c r="F221" s="588"/>
      <c r="G221" s="345">
        <v>0</v>
      </c>
      <c r="H221" s="346"/>
      <c r="I221" s="337"/>
      <c r="J221" s="455"/>
      <c r="K221" s="455"/>
      <c r="L221" s="459"/>
      <c r="M221" s="457"/>
      <c r="N221" s="457"/>
      <c r="O221" s="457"/>
      <c r="P221" s="457"/>
      <c r="Q221" s="417"/>
      <c r="R221" s="411"/>
      <c r="S221" s="411"/>
      <c r="T221" s="421"/>
      <c r="U221" s="413"/>
      <c r="V221" s="414"/>
      <c r="W221" s="414"/>
      <c r="X221" s="414"/>
      <c r="Y221" s="411"/>
      <c r="Z221" s="411"/>
      <c r="AA221" s="411"/>
      <c r="AB221" s="421"/>
      <c r="AC221" s="413"/>
      <c r="AD221" s="414"/>
      <c r="AE221" s="414"/>
      <c r="AF221" s="414"/>
      <c r="AG221" s="411"/>
      <c r="AH221" s="411"/>
      <c r="AI221" s="411"/>
      <c r="AJ221" s="421"/>
      <c r="AK221" s="413"/>
      <c r="AL221" s="414"/>
      <c r="AM221" s="414"/>
      <c r="AN221" s="414"/>
      <c r="AO221" s="411"/>
      <c r="AP221" s="411"/>
      <c r="AQ221" s="411"/>
      <c r="AR221" s="421"/>
      <c r="AS221" s="413"/>
      <c r="AT221" s="414"/>
      <c r="AU221" s="414"/>
      <c r="AV221" s="414"/>
      <c r="AW221" s="411"/>
      <c r="AX221" s="411"/>
      <c r="AY221" s="411"/>
      <c r="AZ221" s="421"/>
      <c r="BA221" s="413"/>
      <c r="BB221" s="414"/>
      <c r="BC221" s="414"/>
      <c r="BD221" s="414"/>
      <c r="BE221" s="411"/>
      <c r="BF221" s="411"/>
      <c r="BG221" s="411"/>
      <c r="BH221" s="421"/>
      <c r="BI221" s="413"/>
      <c r="BJ221" s="414"/>
      <c r="BK221" s="414"/>
      <c r="BL221" s="414"/>
      <c r="BM221" s="411"/>
      <c r="BN221" s="411"/>
      <c r="BO221" s="411"/>
      <c r="BP221" s="421"/>
      <c r="BQ221" s="413"/>
      <c r="BR221" s="414"/>
      <c r="BS221" s="414"/>
      <c r="BT221" s="414"/>
      <c r="BU221" s="411"/>
      <c r="BV221" s="411"/>
      <c r="BW221" s="411"/>
      <c r="BX221" s="421"/>
      <c r="BY221" s="413"/>
      <c r="BZ221" s="414"/>
      <c r="CA221" s="414"/>
      <c r="CB221" s="414"/>
      <c r="CC221" s="411"/>
      <c r="CD221" s="411"/>
      <c r="CE221" s="411"/>
      <c r="CF221" s="421"/>
      <c r="CG221" s="413"/>
      <c r="CH221" s="414"/>
      <c r="CI221" s="414"/>
      <c r="CJ221" s="414"/>
      <c r="CK221" s="411"/>
      <c r="CL221" s="411"/>
      <c r="CM221" s="411"/>
      <c r="CN221" s="421"/>
      <c r="CO221" s="413"/>
      <c r="CP221" s="414"/>
      <c r="CQ221" s="414"/>
      <c r="CR221" s="414"/>
      <c r="CS221" s="411"/>
      <c r="CT221" s="411"/>
      <c r="CU221" s="411"/>
      <c r="CV221" s="421"/>
      <c r="CW221" s="413"/>
      <c r="CX221" s="414"/>
      <c r="CY221" s="414"/>
      <c r="CZ221" s="414"/>
      <c r="DA221" s="411"/>
      <c r="DB221" s="411"/>
      <c r="DC221" s="411"/>
      <c r="DD221" s="421"/>
      <c r="DE221" s="413"/>
      <c r="DF221" s="414"/>
      <c r="DG221" s="414"/>
      <c r="DH221" s="414"/>
      <c r="DI221" s="411"/>
      <c r="DJ221" s="411"/>
      <c r="DK221" s="411"/>
      <c r="DL221" s="421"/>
      <c r="DM221" s="413"/>
      <c r="DN221" s="414"/>
      <c r="DO221" s="414"/>
      <c r="DP221" s="414"/>
      <c r="DQ221" s="411"/>
      <c r="DR221" s="411"/>
      <c r="DS221" s="411"/>
      <c r="DT221" s="421"/>
      <c r="DU221" s="413"/>
      <c r="DV221" s="414"/>
      <c r="DW221" s="414"/>
      <c r="DX221" s="414"/>
      <c r="DY221" s="411"/>
      <c r="DZ221" s="411"/>
      <c r="EA221" s="411"/>
      <c r="EB221" s="421"/>
      <c r="EC221" s="413"/>
      <c r="ED221" s="414"/>
      <c r="EE221" s="414"/>
      <c r="EF221" s="414"/>
      <c r="EG221" s="411"/>
      <c r="EH221" s="411"/>
      <c r="EI221" s="411"/>
      <c r="EJ221" s="421"/>
      <c r="EK221" s="413"/>
      <c r="EL221" s="414"/>
      <c r="EM221" s="414"/>
      <c r="EN221" s="414"/>
      <c r="EO221" s="411"/>
      <c r="EP221" s="411"/>
      <c r="EQ221" s="411"/>
      <c r="ER221" s="421"/>
      <c r="ES221" s="413"/>
      <c r="ET221" s="414"/>
      <c r="EU221" s="414"/>
      <c r="EV221" s="414"/>
      <c r="EW221" s="411"/>
      <c r="EX221" s="411"/>
      <c r="EY221" s="411"/>
      <c r="EZ221" s="421"/>
      <c r="FA221" s="413"/>
      <c r="FB221" s="414"/>
      <c r="FC221" s="414"/>
      <c r="FD221" s="414"/>
      <c r="FE221" s="411"/>
      <c r="FF221" s="411"/>
      <c r="FG221" s="411"/>
      <c r="FH221" s="421"/>
      <c r="FI221" s="413"/>
      <c r="FJ221" s="414"/>
      <c r="FK221" s="414"/>
      <c r="FL221" s="414"/>
      <c r="FM221" s="411"/>
      <c r="FN221" s="411"/>
      <c r="FO221" s="411"/>
      <c r="FP221" s="421"/>
      <c r="FQ221" s="413"/>
      <c r="FR221" s="414"/>
      <c r="FS221" s="414"/>
      <c r="FT221" s="414"/>
      <c r="FU221" s="411"/>
      <c r="FV221" s="411"/>
      <c r="FW221" s="411"/>
      <c r="FX221" s="421"/>
      <c r="FY221" s="413"/>
      <c r="FZ221" s="414"/>
      <c r="GA221" s="414"/>
      <c r="GB221" s="414"/>
      <c r="GC221" s="411"/>
      <c r="GD221" s="411"/>
      <c r="GE221" s="411"/>
      <c r="GF221" s="421"/>
      <c r="GG221" s="413"/>
      <c r="GH221" s="414"/>
      <c r="GI221" s="414"/>
      <c r="GJ221" s="414"/>
      <c r="GK221" s="411"/>
      <c r="GL221" s="411"/>
      <c r="GM221" s="411"/>
      <c r="GN221" s="421"/>
      <c r="GO221" s="413"/>
      <c r="GP221" s="414"/>
      <c r="GQ221" s="414"/>
      <c r="GR221" s="414"/>
      <c r="GS221" s="411"/>
      <c r="GT221" s="411"/>
      <c r="GU221" s="411"/>
      <c r="GV221" s="421"/>
      <c r="GW221" s="413"/>
      <c r="GX221" s="414"/>
      <c r="GY221" s="414"/>
      <c r="GZ221" s="414"/>
      <c r="HA221" s="411"/>
      <c r="HB221" s="411"/>
      <c r="HC221" s="411"/>
      <c r="HD221" s="421"/>
      <c r="HE221" s="413"/>
      <c r="HF221" s="414"/>
      <c r="HG221" s="414"/>
      <c r="HH221" s="414"/>
      <c r="HI221" s="411"/>
      <c r="HJ221" s="411"/>
      <c r="HK221" s="411"/>
      <c r="HL221" s="421"/>
      <c r="HM221" s="413"/>
      <c r="HN221" s="414"/>
      <c r="HO221" s="414"/>
      <c r="HP221" s="414"/>
      <c r="HQ221" s="411"/>
      <c r="HR221" s="411"/>
      <c r="HS221" s="411"/>
      <c r="HT221" s="421"/>
      <c r="HU221" s="413"/>
      <c r="HV221" s="414"/>
      <c r="HW221" s="414"/>
      <c r="HX221" s="414"/>
      <c r="HY221" s="411"/>
      <c r="HZ221" s="411"/>
      <c r="IA221" s="411"/>
      <c r="IB221" s="421"/>
      <c r="IC221" s="413"/>
      <c r="ID221" s="414"/>
      <c r="IE221" s="414"/>
      <c r="IF221" s="414"/>
      <c r="IG221" s="411"/>
      <c r="IH221" s="411"/>
      <c r="II221" s="411"/>
      <c r="IJ221" s="421"/>
      <c r="IK221" s="413"/>
      <c r="IL221" s="414"/>
      <c r="IM221" s="414"/>
      <c r="IN221" s="414"/>
      <c r="IO221" s="411"/>
      <c r="IP221" s="411"/>
      <c r="IQ221" s="411"/>
      <c r="IR221" s="421"/>
      <c r="IS221" s="413"/>
      <c r="IT221" s="414"/>
      <c r="IU221" s="414"/>
      <c r="IV221" s="414"/>
    </row>
    <row r="222" spans="1:256" ht="12.75">
      <c r="A222" s="368" t="s">
        <v>234</v>
      </c>
      <c r="B222" s="368"/>
      <c r="C222" s="356" t="s">
        <v>191</v>
      </c>
      <c r="D222" s="356"/>
      <c r="E222" s="342">
        <v>0</v>
      </c>
      <c r="F222" s="343"/>
      <c r="G222" s="345">
        <v>0</v>
      </c>
      <c r="H222" s="359"/>
      <c r="I222" s="337"/>
      <c r="J222" s="455"/>
      <c r="K222" s="455"/>
      <c r="L222" s="459"/>
      <c r="M222" s="457"/>
      <c r="N222" s="457"/>
      <c r="O222" s="457"/>
      <c r="P222" s="457"/>
      <c r="Q222" s="417"/>
      <c r="R222" s="411"/>
      <c r="S222" s="411"/>
      <c r="T222" s="421"/>
      <c r="U222" s="413"/>
      <c r="V222" s="414"/>
      <c r="W222" s="414"/>
      <c r="X222" s="414"/>
      <c r="Y222" s="411"/>
      <c r="Z222" s="411"/>
      <c r="AA222" s="411"/>
      <c r="AB222" s="421"/>
      <c r="AC222" s="413"/>
      <c r="AD222" s="414"/>
      <c r="AE222" s="414"/>
      <c r="AF222" s="414"/>
      <c r="AG222" s="411"/>
      <c r="AH222" s="411"/>
      <c r="AI222" s="411"/>
      <c r="AJ222" s="421"/>
      <c r="AK222" s="413"/>
      <c r="AL222" s="414"/>
      <c r="AM222" s="414"/>
      <c r="AN222" s="414"/>
      <c r="AO222" s="411"/>
      <c r="AP222" s="411"/>
      <c r="AQ222" s="411"/>
      <c r="AR222" s="421"/>
      <c r="AS222" s="413"/>
      <c r="AT222" s="414"/>
      <c r="AU222" s="414"/>
      <c r="AV222" s="414"/>
      <c r="AW222" s="411"/>
      <c r="AX222" s="411"/>
      <c r="AY222" s="411"/>
      <c r="AZ222" s="421"/>
      <c r="BA222" s="413"/>
      <c r="BB222" s="414"/>
      <c r="BC222" s="414"/>
      <c r="BD222" s="414"/>
      <c r="BE222" s="411"/>
      <c r="BF222" s="411"/>
      <c r="BG222" s="411"/>
      <c r="BH222" s="421"/>
      <c r="BI222" s="413"/>
      <c r="BJ222" s="414"/>
      <c r="BK222" s="414"/>
      <c r="BL222" s="414"/>
      <c r="BM222" s="411"/>
      <c r="BN222" s="411"/>
      <c r="BO222" s="411"/>
      <c r="BP222" s="421"/>
      <c r="BQ222" s="413"/>
      <c r="BR222" s="414"/>
      <c r="BS222" s="414"/>
      <c r="BT222" s="414"/>
      <c r="BU222" s="411"/>
      <c r="BV222" s="411"/>
      <c r="BW222" s="411"/>
      <c r="BX222" s="421"/>
      <c r="BY222" s="413"/>
      <c r="BZ222" s="414"/>
      <c r="CA222" s="414"/>
      <c r="CB222" s="414"/>
      <c r="CC222" s="411"/>
      <c r="CD222" s="411"/>
      <c r="CE222" s="411"/>
      <c r="CF222" s="421"/>
      <c r="CG222" s="413"/>
      <c r="CH222" s="414"/>
      <c r="CI222" s="414"/>
      <c r="CJ222" s="414"/>
      <c r="CK222" s="411"/>
      <c r="CL222" s="411"/>
      <c r="CM222" s="411"/>
      <c r="CN222" s="421"/>
      <c r="CO222" s="413"/>
      <c r="CP222" s="414"/>
      <c r="CQ222" s="414"/>
      <c r="CR222" s="414"/>
      <c r="CS222" s="411"/>
      <c r="CT222" s="411"/>
      <c r="CU222" s="411"/>
      <c r="CV222" s="421"/>
      <c r="CW222" s="413"/>
      <c r="CX222" s="414"/>
      <c r="CY222" s="414"/>
      <c r="CZ222" s="414"/>
      <c r="DA222" s="411"/>
      <c r="DB222" s="411"/>
      <c r="DC222" s="411"/>
      <c r="DD222" s="421"/>
      <c r="DE222" s="413"/>
      <c r="DF222" s="414"/>
      <c r="DG222" s="414"/>
      <c r="DH222" s="414"/>
      <c r="DI222" s="411"/>
      <c r="DJ222" s="411"/>
      <c r="DK222" s="411"/>
      <c r="DL222" s="421"/>
      <c r="DM222" s="413"/>
      <c r="DN222" s="414"/>
      <c r="DO222" s="414"/>
      <c r="DP222" s="414"/>
      <c r="DQ222" s="411"/>
      <c r="DR222" s="411"/>
      <c r="DS222" s="411"/>
      <c r="DT222" s="421"/>
      <c r="DU222" s="413"/>
      <c r="DV222" s="414"/>
      <c r="DW222" s="414"/>
      <c r="DX222" s="414"/>
      <c r="DY222" s="411"/>
      <c r="DZ222" s="411"/>
      <c r="EA222" s="411"/>
      <c r="EB222" s="421"/>
      <c r="EC222" s="413"/>
      <c r="ED222" s="414"/>
      <c r="EE222" s="414"/>
      <c r="EF222" s="414"/>
      <c r="EG222" s="411"/>
      <c r="EH222" s="411"/>
      <c r="EI222" s="411"/>
      <c r="EJ222" s="421"/>
      <c r="EK222" s="413"/>
      <c r="EL222" s="414"/>
      <c r="EM222" s="414"/>
      <c r="EN222" s="414"/>
      <c r="EO222" s="411"/>
      <c r="EP222" s="411"/>
      <c r="EQ222" s="411"/>
      <c r="ER222" s="421"/>
      <c r="ES222" s="413"/>
      <c r="ET222" s="414"/>
      <c r="EU222" s="414"/>
      <c r="EV222" s="414"/>
      <c r="EW222" s="411"/>
      <c r="EX222" s="411"/>
      <c r="EY222" s="411"/>
      <c r="EZ222" s="421"/>
      <c r="FA222" s="413"/>
      <c r="FB222" s="414"/>
      <c r="FC222" s="414"/>
      <c r="FD222" s="414"/>
      <c r="FE222" s="411"/>
      <c r="FF222" s="411"/>
      <c r="FG222" s="411"/>
      <c r="FH222" s="421"/>
      <c r="FI222" s="413"/>
      <c r="FJ222" s="414"/>
      <c r="FK222" s="414"/>
      <c r="FL222" s="414"/>
      <c r="FM222" s="411"/>
      <c r="FN222" s="411"/>
      <c r="FO222" s="411"/>
      <c r="FP222" s="421"/>
      <c r="FQ222" s="413"/>
      <c r="FR222" s="414"/>
      <c r="FS222" s="414"/>
      <c r="FT222" s="414"/>
      <c r="FU222" s="411"/>
      <c r="FV222" s="411"/>
      <c r="FW222" s="411"/>
      <c r="FX222" s="421"/>
      <c r="FY222" s="413"/>
      <c r="FZ222" s="414"/>
      <c r="GA222" s="414"/>
      <c r="GB222" s="414"/>
      <c r="GC222" s="411"/>
      <c r="GD222" s="411"/>
      <c r="GE222" s="411"/>
      <c r="GF222" s="421"/>
      <c r="GG222" s="413"/>
      <c r="GH222" s="414"/>
      <c r="GI222" s="414"/>
      <c r="GJ222" s="414"/>
      <c r="GK222" s="411"/>
      <c r="GL222" s="411"/>
      <c r="GM222" s="411"/>
      <c r="GN222" s="421"/>
      <c r="GO222" s="413"/>
      <c r="GP222" s="414"/>
      <c r="GQ222" s="414"/>
      <c r="GR222" s="414"/>
      <c r="GS222" s="411"/>
      <c r="GT222" s="411"/>
      <c r="GU222" s="411"/>
      <c r="GV222" s="421"/>
      <c r="GW222" s="413"/>
      <c r="GX222" s="414"/>
      <c r="GY222" s="414"/>
      <c r="GZ222" s="414"/>
      <c r="HA222" s="411"/>
      <c r="HB222" s="411"/>
      <c r="HC222" s="411"/>
      <c r="HD222" s="421"/>
      <c r="HE222" s="413"/>
      <c r="HF222" s="414"/>
      <c r="HG222" s="414"/>
      <c r="HH222" s="414"/>
      <c r="HI222" s="411"/>
      <c r="HJ222" s="411"/>
      <c r="HK222" s="411"/>
      <c r="HL222" s="421"/>
      <c r="HM222" s="413"/>
      <c r="HN222" s="414"/>
      <c r="HO222" s="414"/>
      <c r="HP222" s="414"/>
      <c r="HQ222" s="411"/>
      <c r="HR222" s="411"/>
      <c r="HS222" s="411"/>
      <c r="HT222" s="421"/>
      <c r="HU222" s="413"/>
      <c r="HV222" s="414"/>
      <c r="HW222" s="414"/>
      <c r="HX222" s="414"/>
      <c r="HY222" s="411"/>
      <c r="HZ222" s="411"/>
      <c r="IA222" s="411"/>
      <c r="IB222" s="421"/>
      <c r="IC222" s="413"/>
      <c r="ID222" s="414"/>
      <c r="IE222" s="414"/>
      <c r="IF222" s="414"/>
      <c r="IG222" s="411"/>
      <c r="IH222" s="411"/>
      <c r="II222" s="411"/>
      <c r="IJ222" s="421"/>
      <c r="IK222" s="413"/>
      <c r="IL222" s="414"/>
      <c r="IM222" s="414"/>
      <c r="IN222" s="414"/>
      <c r="IO222" s="411"/>
      <c r="IP222" s="411"/>
      <c r="IQ222" s="411"/>
      <c r="IR222" s="421"/>
      <c r="IS222" s="413"/>
      <c r="IT222" s="414"/>
      <c r="IU222" s="414"/>
      <c r="IV222" s="414"/>
    </row>
    <row r="223" spans="1:256" ht="12.75">
      <c r="A223" s="362" t="s">
        <v>134</v>
      </c>
      <c r="B223" s="363"/>
      <c r="C223" s="364"/>
      <c r="D223" s="364"/>
      <c r="E223" s="364"/>
      <c r="F223" s="365"/>
      <c r="G223" s="357">
        <f>SUM(G221+G222)</f>
        <v>0</v>
      </c>
      <c r="H223" s="358"/>
      <c r="I223" s="340"/>
      <c r="J223" s="455"/>
      <c r="K223" s="455"/>
      <c r="L223" s="459"/>
      <c r="M223" s="457"/>
      <c r="N223" s="457"/>
      <c r="O223" s="457"/>
      <c r="P223" s="457"/>
      <c r="Q223" s="417"/>
      <c r="R223" s="411"/>
      <c r="S223" s="411"/>
      <c r="T223" s="421"/>
      <c r="U223" s="413"/>
      <c r="V223" s="414"/>
      <c r="W223" s="414"/>
      <c r="X223" s="414"/>
      <c r="Y223" s="411"/>
      <c r="Z223" s="411"/>
      <c r="AA223" s="411"/>
      <c r="AB223" s="421"/>
      <c r="AC223" s="413"/>
      <c r="AD223" s="414"/>
      <c r="AE223" s="414"/>
      <c r="AF223" s="414"/>
      <c r="AG223" s="411"/>
      <c r="AH223" s="411"/>
      <c r="AI223" s="411"/>
      <c r="AJ223" s="421"/>
      <c r="AK223" s="413"/>
      <c r="AL223" s="414"/>
      <c r="AM223" s="414"/>
      <c r="AN223" s="414"/>
      <c r="AO223" s="411"/>
      <c r="AP223" s="411"/>
      <c r="AQ223" s="411"/>
      <c r="AR223" s="421"/>
      <c r="AS223" s="413"/>
      <c r="AT223" s="414"/>
      <c r="AU223" s="414"/>
      <c r="AV223" s="414"/>
      <c r="AW223" s="411"/>
      <c r="AX223" s="411"/>
      <c r="AY223" s="411"/>
      <c r="AZ223" s="421"/>
      <c r="BA223" s="413"/>
      <c r="BB223" s="414"/>
      <c r="BC223" s="414"/>
      <c r="BD223" s="414"/>
      <c r="BE223" s="411"/>
      <c r="BF223" s="411"/>
      <c r="BG223" s="411"/>
      <c r="BH223" s="421"/>
      <c r="BI223" s="413"/>
      <c r="BJ223" s="414"/>
      <c r="BK223" s="414"/>
      <c r="BL223" s="414"/>
      <c r="BM223" s="411"/>
      <c r="BN223" s="411"/>
      <c r="BO223" s="411"/>
      <c r="BP223" s="421"/>
      <c r="BQ223" s="413"/>
      <c r="BR223" s="414"/>
      <c r="BS223" s="414"/>
      <c r="BT223" s="414"/>
      <c r="BU223" s="411"/>
      <c r="BV223" s="411"/>
      <c r="BW223" s="411"/>
      <c r="BX223" s="421"/>
      <c r="BY223" s="413"/>
      <c r="BZ223" s="414"/>
      <c r="CA223" s="414"/>
      <c r="CB223" s="414"/>
      <c r="CC223" s="411"/>
      <c r="CD223" s="411"/>
      <c r="CE223" s="411"/>
      <c r="CF223" s="421"/>
      <c r="CG223" s="413"/>
      <c r="CH223" s="414"/>
      <c r="CI223" s="414"/>
      <c r="CJ223" s="414"/>
      <c r="CK223" s="411"/>
      <c r="CL223" s="411"/>
      <c r="CM223" s="411"/>
      <c r="CN223" s="421"/>
      <c r="CO223" s="413"/>
      <c r="CP223" s="414"/>
      <c r="CQ223" s="414"/>
      <c r="CR223" s="414"/>
      <c r="CS223" s="411"/>
      <c r="CT223" s="411"/>
      <c r="CU223" s="411"/>
      <c r="CV223" s="421"/>
      <c r="CW223" s="413"/>
      <c r="CX223" s="414"/>
      <c r="CY223" s="414"/>
      <c r="CZ223" s="414"/>
      <c r="DA223" s="411"/>
      <c r="DB223" s="411"/>
      <c r="DC223" s="411"/>
      <c r="DD223" s="421"/>
      <c r="DE223" s="413"/>
      <c r="DF223" s="414"/>
      <c r="DG223" s="414"/>
      <c r="DH223" s="414"/>
      <c r="DI223" s="411"/>
      <c r="DJ223" s="411"/>
      <c r="DK223" s="411"/>
      <c r="DL223" s="421"/>
      <c r="DM223" s="413"/>
      <c r="DN223" s="414"/>
      <c r="DO223" s="414"/>
      <c r="DP223" s="414"/>
      <c r="DQ223" s="411"/>
      <c r="DR223" s="411"/>
      <c r="DS223" s="411"/>
      <c r="DT223" s="421"/>
      <c r="DU223" s="413"/>
      <c r="DV223" s="414"/>
      <c r="DW223" s="414"/>
      <c r="DX223" s="414"/>
      <c r="DY223" s="411"/>
      <c r="DZ223" s="411"/>
      <c r="EA223" s="411"/>
      <c r="EB223" s="421"/>
      <c r="EC223" s="413"/>
      <c r="ED223" s="414"/>
      <c r="EE223" s="414"/>
      <c r="EF223" s="414"/>
      <c r="EG223" s="411"/>
      <c r="EH223" s="411"/>
      <c r="EI223" s="411"/>
      <c r="EJ223" s="421"/>
      <c r="EK223" s="413"/>
      <c r="EL223" s="414"/>
      <c r="EM223" s="414"/>
      <c r="EN223" s="414"/>
      <c r="EO223" s="411"/>
      <c r="EP223" s="411"/>
      <c r="EQ223" s="411"/>
      <c r="ER223" s="421"/>
      <c r="ES223" s="413"/>
      <c r="ET223" s="414"/>
      <c r="EU223" s="414"/>
      <c r="EV223" s="414"/>
      <c r="EW223" s="411"/>
      <c r="EX223" s="411"/>
      <c r="EY223" s="411"/>
      <c r="EZ223" s="421"/>
      <c r="FA223" s="413"/>
      <c r="FB223" s="414"/>
      <c r="FC223" s="414"/>
      <c r="FD223" s="414"/>
      <c r="FE223" s="411"/>
      <c r="FF223" s="411"/>
      <c r="FG223" s="411"/>
      <c r="FH223" s="421"/>
      <c r="FI223" s="413"/>
      <c r="FJ223" s="414"/>
      <c r="FK223" s="414"/>
      <c r="FL223" s="414"/>
      <c r="FM223" s="411"/>
      <c r="FN223" s="411"/>
      <c r="FO223" s="411"/>
      <c r="FP223" s="421"/>
      <c r="FQ223" s="413"/>
      <c r="FR223" s="414"/>
      <c r="FS223" s="414"/>
      <c r="FT223" s="414"/>
      <c r="FU223" s="411"/>
      <c r="FV223" s="411"/>
      <c r="FW223" s="411"/>
      <c r="FX223" s="421"/>
      <c r="FY223" s="413"/>
      <c r="FZ223" s="414"/>
      <c r="GA223" s="414"/>
      <c r="GB223" s="414"/>
      <c r="GC223" s="411"/>
      <c r="GD223" s="411"/>
      <c r="GE223" s="411"/>
      <c r="GF223" s="421"/>
      <c r="GG223" s="413"/>
      <c r="GH223" s="414"/>
      <c r="GI223" s="414"/>
      <c r="GJ223" s="414"/>
      <c r="GK223" s="411"/>
      <c r="GL223" s="411"/>
      <c r="GM223" s="411"/>
      <c r="GN223" s="421"/>
      <c r="GO223" s="413"/>
      <c r="GP223" s="414"/>
      <c r="GQ223" s="414"/>
      <c r="GR223" s="414"/>
      <c r="GS223" s="411"/>
      <c r="GT223" s="411"/>
      <c r="GU223" s="411"/>
      <c r="GV223" s="421"/>
      <c r="GW223" s="413"/>
      <c r="GX223" s="414"/>
      <c r="GY223" s="414"/>
      <c r="GZ223" s="414"/>
      <c r="HA223" s="411"/>
      <c r="HB223" s="411"/>
      <c r="HC223" s="411"/>
      <c r="HD223" s="421"/>
      <c r="HE223" s="413"/>
      <c r="HF223" s="414"/>
      <c r="HG223" s="414"/>
      <c r="HH223" s="414"/>
      <c r="HI223" s="411"/>
      <c r="HJ223" s="411"/>
      <c r="HK223" s="411"/>
      <c r="HL223" s="421"/>
      <c r="HM223" s="413"/>
      <c r="HN223" s="414"/>
      <c r="HO223" s="414"/>
      <c r="HP223" s="414"/>
      <c r="HQ223" s="411"/>
      <c r="HR223" s="411"/>
      <c r="HS223" s="411"/>
      <c r="HT223" s="421"/>
      <c r="HU223" s="413"/>
      <c r="HV223" s="414"/>
      <c r="HW223" s="414"/>
      <c r="HX223" s="414"/>
      <c r="HY223" s="411"/>
      <c r="HZ223" s="411"/>
      <c r="IA223" s="411"/>
      <c r="IB223" s="421"/>
      <c r="IC223" s="413"/>
      <c r="ID223" s="414"/>
      <c r="IE223" s="414"/>
      <c r="IF223" s="414"/>
      <c r="IG223" s="411"/>
      <c r="IH223" s="411"/>
      <c r="II223" s="411"/>
      <c r="IJ223" s="421"/>
      <c r="IK223" s="413"/>
      <c r="IL223" s="414"/>
      <c r="IM223" s="414"/>
      <c r="IN223" s="414"/>
      <c r="IO223" s="411"/>
      <c r="IP223" s="411"/>
      <c r="IQ223" s="411"/>
      <c r="IR223" s="421"/>
      <c r="IS223" s="413"/>
      <c r="IT223" s="414"/>
      <c r="IU223" s="414"/>
      <c r="IV223" s="414"/>
    </row>
    <row r="224" spans="1:256" ht="7.5" customHeight="1">
      <c r="A224" s="589"/>
      <c r="B224" s="590"/>
      <c r="C224" s="407"/>
      <c r="D224" s="407"/>
      <c r="E224" s="407"/>
      <c r="F224" s="407"/>
      <c r="G224" s="407"/>
      <c r="H224" s="407"/>
      <c r="I224" s="467"/>
      <c r="J224" s="455"/>
      <c r="K224" s="455"/>
      <c r="L224" s="459"/>
      <c r="M224" s="457"/>
      <c r="N224" s="457"/>
      <c r="O224" s="457"/>
      <c r="P224" s="457"/>
      <c r="Q224" s="417"/>
      <c r="R224" s="411"/>
      <c r="S224" s="411"/>
      <c r="T224" s="421"/>
      <c r="U224" s="413"/>
      <c r="V224" s="414"/>
      <c r="W224" s="414"/>
      <c r="X224" s="414"/>
      <c r="Y224" s="411"/>
      <c r="Z224" s="411"/>
      <c r="AA224" s="411"/>
      <c r="AB224" s="421"/>
      <c r="AC224" s="413"/>
      <c r="AD224" s="414"/>
      <c r="AE224" s="414"/>
      <c r="AF224" s="414"/>
      <c r="AG224" s="411"/>
      <c r="AH224" s="411"/>
      <c r="AI224" s="411"/>
      <c r="AJ224" s="421"/>
      <c r="AK224" s="413"/>
      <c r="AL224" s="414"/>
      <c r="AM224" s="414"/>
      <c r="AN224" s="414"/>
      <c r="AO224" s="411"/>
      <c r="AP224" s="411"/>
      <c r="AQ224" s="411"/>
      <c r="AR224" s="421"/>
      <c r="AS224" s="413"/>
      <c r="AT224" s="414"/>
      <c r="AU224" s="414"/>
      <c r="AV224" s="414"/>
      <c r="AW224" s="411"/>
      <c r="AX224" s="411"/>
      <c r="AY224" s="411"/>
      <c r="AZ224" s="421"/>
      <c r="BA224" s="413"/>
      <c r="BB224" s="414"/>
      <c r="BC224" s="414"/>
      <c r="BD224" s="414"/>
      <c r="BE224" s="411"/>
      <c r="BF224" s="411"/>
      <c r="BG224" s="411"/>
      <c r="BH224" s="421"/>
      <c r="BI224" s="413"/>
      <c r="BJ224" s="414"/>
      <c r="BK224" s="414"/>
      <c r="BL224" s="414"/>
      <c r="BM224" s="411"/>
      <c r="BN224" s="411"/>
      <c r="BO224" s="411"/>
      <c r="BP224" s="421"/>
      <c r="BQ224" s="413"/>
      <c r="BR224" s="414"/>
      <c r="BS224" s="414"/>
      <c r="BT224" s="414"/>
      <c r="BU224" s="411"/>
      <c r="BV224" s="411"/>
      <c r="BW224" s="411"/>
      <c r="BX224" s="421"/>
      <c r="BY224" s="413"/>
      <c r="BZ224" s="414"/>
      <c r="CA224" s="414"/>
      <c r="CB224" s="414"/>
      <c r="CC224" s="411"/>
      <c r="CD224" s="411"/>
      <c r="CE224" s="411"/>
      <c r="CF224" s="421"/>
      <c r="CG224" s="413"/>
      <c r="CH224" s="414"/>
      <c r="CI224" s="414"/>
      <c r="CJ224" s="414"/>
      <c r="CK224" s="411"/>
      <c r="CL224" s="411"/>
      <c r="CM224" s="411"/>
      <c r="CN224" s="421"/>
      <c r="CO224" s="413"/>
      <c r="CP224" s="414"/>
      <c r="CQ224" s="414"/>
      <c r="CR224" s="414"/>
      <c r="CS224" s="411"/>
      <c r="CT224" s="411"/>
      <c r="CU224" s="411"/>
      <c r="CV224" s="421"/>
      <c r="CW224" s="413"/>
      <c r="CX224" s="414"/>
      <c r="CY224" s="414"/>
      <c r="CZ224" s="414"/>
      <c r="DA224" s="411"/>
      <c r="DB224" s="411"/>
      <c r="DC224" s="411"/>
      <c r="DD224" s="421"/>
      <c r="DE224" s="413"/>
      <c r="DF224" s="414"/>
      <c r="DG224" s="414"/>
      <c r="DH224" s="414"/>
      <c r="DI224" s="411"/>
      <c r="DJ224" s="411"/>
      <c r="DK224" s="411"/>
      <c r="DL224" s="421"/>
      <c r="DM224" s="413"/>
      <c r="DN224" s="414"/>
      <c r="DO224" s="414"/>
      <c r="DP224" s="414"/>
      <c r="DQ224" s="411"/>
      <c r="DR224" s="411"/>
      <c r="DS224" s="411"/>
      <c r="DT224" s="421"/>
      <c r="DU224" s="413"/>
      <c r="DV224" s="414"/>
      <c r="DW224" s="414"/>
      <c r="DX224" s="414"/>
      <c r="DY224" s="411"/>
      <c r="DZ224" s="411"/>
      <c r="EA224" s="411"/>
      <c r="EB224" s="421"/>
      <c r="EC224" s="413"/>
      <c r="ED224" s="414"/>
      <c r="EE224" s="414"/>
      <c r="EF224" s="414"/>
      <c r="EG224" s="411"/>
      <c r="EH224" s="411"/>
      <c r="EI224" s="411"/>
      <c r="EJ224" s="421"/>
      <c r="EK224" s="413"/>
      <c r="EL224" s="414"/>
      <c r="EM224" s="414"/>
      <c r="EN224" s="414"/>
      <c r="EO224" s="411"/>
      <c r="EP224" s="411"/>
      <c r="EQ224" s="411"/>
      <c r="ER224" s="421"/>
      <c r="ES224" s="413"/>
      <c r="ET224" s="414"/>
      <c r="EU224" s="414"/>
      <c r="EV224" s="414"/>
      <c r="EW224" s="411"/>
      <c r="EX224" s="411"/>
      <c r="EY224" s="411"/>
      <c r="EZ224" s="421"/>
      <c r="FA224" s="413"/>
      <c r="FB224" s="414"/>
      <c r="FC224" s="414"/>
      <c r="FD224" s="414"/>
      <c r="FE224" s="411"/>
      <c r="FF224" s="411"/>
      <c r="FG224" s="411"/>
      <c r="FH224" s="421"/>
      <c r="FI224" s="413"/>
      <c r="FJ224" s="414"/>
      <c r="FK224" s="414"/>
      <c r="FL224" s="414"/>
      <c r="FM224" s="411"/>
      <c r="FN224" s="411"/>
      <c r="FO224" s="411"/>
      <c r="FP224" s="421"/>
      <c r="FQ224" s="413"/>
      <c r="FR224" s="414"/>
      <c r="FS224" s="414"/>
      <c r="FT224" s="414"/>
      <c r="FU224" s="411"/>
      <c r="FV224" s="411"/>
      <c r="FW224" s="411"/>
      <c r="FX224" s="421"/>
      <c r="FY224" s="413"/>
      <c r="FZ224" s="414"/>
      <c r="GA224" s="414"/>
      <c r="GB224" s="414"/>
      <c r="GC224" s="411"/>
      <c r="GD224" s="411"/>
      <c r="GE224" s="411"/>
      <c r="GF224" s="421"/>
      <c r="GG224" s="413"/>
      <c r="GH224" s="414"/>
      <c r="GI224" s="414"/>
      <c r="GJ224" s="414"/>
      <c r="GK224" s="411"/>
      <c r="GL224" s="411"/>
      <c r="GM224" s="411"/>
      <c r="GN224" s="421"/>
      <c r="GO224" s="413"/>
      <c r="GP224" s="414"/>
      <c r="GQ224" s="414"/>
      <c r="GR224" s="414"/>
      <c r="GS224" s="411"/>
      <c r="GT224" s="411"/>
      <c r="GU224" s="411"/>
      <c r="GV224" s="421"/>
      <c r="GW224" s="413"/>
      <c r="GX224" s="414"/>
      <c r="GY224" s="414"/>
      <c r="GZ224" s="414"/>
      <c r="HA224" s="411"/>
      <c r="HB224" s="411"/>
      <c r="HC224" s="411"/>
      <c r="HD224" s="421"/>
      <c r="HE224" s="413"/>
      <c r="HF224" s="414"/>
      <c r="HG224" s="414"/>
      <c r="HH224" s="414"/>
      <c r="HI224" s="411"/>
      <c r="HJ224" s="411"/>
      <c r="HK224" s="411"/>
      <c r="HL224" s="421"/>
      <c r="HM224" s="413"/>
      <c r="HN224" s="414"/>
      <c r="HO224" s="414"/>
      <c r="HP224" s="414"/>
      <c r="HQ224" s="411"/>
      <c r="HR224" s="411"/>
      <c r="HS224" s="411"/>
      <c r="HT224" s="421"/>
      <c r="HU224" s="413"/>
      <c r="HV224" s="414"/>
      <c r="HW224" s="414"/>
      <c r="HX224" s="414"/>
      <c r="HY224" s="411"/>
      <c r="HZ224" s="411"/>
      <c r="IA224" s="411"/>
      <c r="IB224" s="421"/>
      <c r="IC224" s="413"/>
      <c r="ID224" s="414"/>
      <c r="IE224" s="414"/>
      <c r="IF224" s="414"/>
      <c r="IG224" s="411"/>
      <c r="IH224" s="411"/>
      <c r="II224" s="411"/>
      <c r="IJ224" s="421"/>
      <c r="IK224" s="413"/>
      <c r="IL224" s="414"/>
      <c r="IM224" s="414"/>
      <c r="IN224" s="414"/>
      <c r="IO224" s="411"/>
      <c r="IP224" s="411"/>
      <c r="IQ224" s="411"/>
      <c r="IR224" s="421"/>
      <c r="IS224" s="413"/>
      <c r="IT224" s="414"/>
      <c r="IU224" s="414"/>
      <c r="IV224" s="414"/>
    </row>
    <row r="225" spans="1:256" ht="25.5" customHeight="1">
      <c r="A225" s="366" t="s">
        <v>248</v>
      </c>
      <c r="B225" s="367"/>
      <c r="C225" s="353" t="s">
        <v>192</v>
      </c>
      <c r="D225" s="353"/>
      <c r="E225" s="344">
        <v>0</v>
      </c>
      <c r="F225" s="344"/>
      <c r="G225" s="345">
        <v>0</v>
      </c>
      <c r="H225" s="346"/>
      <c r="I225" s="337"/>
      <c r="J225" s="458"/>
      <c r="K225" s="458"/>
      <c r="L225" s="459"/>
      <c r="M225" s="457"/>
      <c r="N225" s="457"/>
      <c r="O225" s="457"/>
      <c r="P225" s="457"/>
      <c r="Q225" s="419" t="s">
        <v>159</v>
      </c>
      <c r="R225" s="419"/>
      <c r="S225" s="420"/>
      <c r="T225" s="421"/>
      <c r="U225" s="413"/>
      <c r="V225" s="414"/>
      <c r="W225" s="414"/>
      <c r="X225" s="414"/>
      <c r="Y225" s="418" t="s">
        <v>159</v>
      </c>
      <c r="Z225" s="419"/>
      <c r="AA225" s="420"/>
      <c r="AB225" s="421"/>
      <c r="AC225" s="413"/>
      <c r="AD225" s="414"/>
      <c r="AE225" s="414"/>
      <c r="AF225" s="414"/>
      <c r="AG225" s="418" t="s">
        <v>159</v>
      </c>
      <c r="AH225" s="419"/>
      <c r="AI225" s="420"/>
      <c r="AJ225" s="421"/>
      <c r="AK225" s="413"/>
      <c r="AL225" s="414"/>
      <c r="AM225" s="414"/>
      <c r="AN225" s="414"/>
      <c r="AO225" s="418" t="s">
        <v>159</v>
      </c>
      <c r="AP225" s="419"/>
      <c r="AQ225" s="420"/>
      <c r="AR225" s="421"/>
      <c r="AS225" s="413"/>
      <c r="AT225" s="414"/>
      <c r="AU225" s="414"/>
      <c r="AV225" s="414"/>
      <c r="AW225" s="418" t="s">
        <v>159</v>
      </c>
      <c r="AX225" s="419"/>
      <c r="AY225" s="420"/>
      <c r="AZ225" s="421"/>
      <c r="BA225" s="413"/>
      <c r="BB225" s="414"/>
      <c r="BC225" s="414"/>
      <c r="BD225" s="414"/>
      <c r="BE225" s="418" t="s">
        <v>159</v>
      </c>
      <c r="BF225" s="419"/>
      <c r="BG225" s="420"/>
      <c r="BH225" s="421"/>
      <c r="BI225" s="413"/>
      <c r="BJ225" s="414"/>
      <c r="BK225" s="414"/>
      <c r="BL225" s="414"/>
      <c r="BM225" s="418" t="s">
        <v>159</v>
      </c>
      <c r="BN225" s="419"/>
      <c r="BO225" s="420"/>
      <c r="BP225" s="421"/>
      <c r="BQ225" s="413"/>
      <c r="BR225" s="414"/>
      <c r="BS225" s="414"/>
      <c r="BT225" s="414"/>
      <c r="BU225" s="418" t="s">
        <v>159</v>
      </c>
      <c r="BV225" s="419"/>
      <c r="BW225" s="420"/>
      <c r="BX225" s="421"/>
      <c r="BY225" s="413"/>
      <c r="BZ225" s="414"/>
      <c r="CA225" s="414"/>
      <c r="CB225" s="414"/>
      <c r="CC225" s="418" t="s">
        <v>159</v>
      </c>
      <c r="CD225" s="419"/>
      <c r="CE225" s="420"/>
      <c r="CF225" s="421"/>
      <c r="CG225" s="413"/>
      <c r="CH225" s="414"/>
      <c r="CI225" s="414"/>
      <c r="CJ225" s="414"/>
      <c r="CK225" s="418" t="s">
        <v>159</v>
      </c>
      <c r="CL225" s="419"/>
      <c r="CM225" s="420"/>
      <c r="CN225" s="421"/>
      <c r="CO225" s="413"/>
      <c r="CP225" s="414"/>
      <c r="CQ225" s="414"/>
      <c r="CR225" s="414"/>
      <c r="CS225" s="418" t="s">
        <v>159</v>
      </c>
      <c r="CT225" s="419"/>
      <c r="CU225" s="420"/>
      <c r="CV225" s="421"/>
      <c r="CW225" s="413"/>
      <c r="CX225" s="414"/>
      <c r="CY225" s="414"/>
      <c r="CZ225" s="414"/>
      <c r="DA225" s="418" t="s">
        <v>159</v>
      </c>
      <c r="DB225" s="419"/>
      <c r="DC225" s="420"/>
      <c r="DD225" s="421"/>
      <c r="DE225" s="413"/>
      <c r="DF225" s="414"/>
      <c r="DG225" s="414"/>
      <c r="DH225" s="414"/>
      <c r="DI225" s="418" t="s">
        <v>159</v>
      </c>
      <c r="DJ225" s="419"/>
      <c r="DK225" s="420"/>
      <c r="DL225" s="421"/>
      <c r="DM225" s="413"/>
      <c r="DN225" s="414"/>
      <c r="DO225" s="414"/>
      <c r="DP225" s="414"/>
      <c r="DQ225" s="418" t="s">
        <v>159</v>
      </c>
      <c r="DR225" s="419"/>
      <c r="DS225" s="420"/>
      <c r="DT225" s="421"/>
      <c r="DU225" s="413"/>
      <c r="DV225" s="414"/>
      <c r="DW225" s="414"/>
      <c r="DX225" s="414"/>
      <c r="DY225" s="418" t="s">
        <v>159</v>
      </c>
      <c r="DZ225" s="419"/>
      <c r="EA225" s="420"/>
      <c r="EB225" s="421"/>
      <c r="EC225" s="413"/>
      <c r="ED225" s="414"/>
      <c r="EE225" s="414"/>
      <c r="EF225" s="414"/>
      <c r="EG225" s="418" t="s">
        <v>159</v>
      </c>
      <c r="EH225" s="419"/>
      <c r="EI225" s="420"/>
      <c r="EJ225" s="421"/>
      <c r="EK225" s="413"/>
      <c r="EL225" s="414"/>
      <c r="EM225" s="414"/>
      <c r="EN225" s="414"/>
      <c r="EO225" s="418" t="s">
        <v>159</v>
      </c>
      <c r="EP225" s="419"/>
      <c r="EQ225" s="420"/>
      <c r="ER225" s="421"/>
      <c r="ES225" s="413"/>
      <c r="ET225" s="414"/>
      <c r="EU225" s="414"/>
      <c r="EV225" s="414"/>
      <c r="EW225" s="418" t="s">
        <v>159</v>
      </c>
      <c r="EX225" s="419"/>
      <c r="EY225" s="420"/>
      <c r="EZ225" s="421"/>
      <c r="FA225" s="413"/>
      <c r="FB225" s="414"/>
      <c r="FC225" s="414"/>
      <c r="FD225" s="414"/>
      <c r="FE225" s="418" t="s">
        <v>159</v>
      </c>
      <c r="FF225" s="419"/>
      <c r="FG225" s="420"/>
      <c r="FH225" s="421"/>
      <c r="FI225" s="413"/>
      <c r="FJ225" s="414"/>
      <c r="FK225" s="414"/>
      <c r="FL225" s="414"/>
      <c r="FM225" s="418" t="s">
        <v>159</v>
      </c>
      <c r="FN225" s="419"/>
      <c r="FO225" s="420"/>
      <c r="FP225" s="421"/>
      <c r="FQ225" s="413"/>
      <c r="FR225" s="414"/>
      <c r="FS225" s="414"/>
      <c r="FT225" s="414"/>
      <c r="FU225" s="418" t="s">
        <v>159</v>
      </c>
      <c r="FV225" s="419"/>
      <c r="FW225" s="420"/>
      <c r="FX225" s="421"/>
      <c r="FY225" s="413"/>
      <c r="FZ225" s="414"/>
      <c r="GA225" s="414"/>
      <c r="GB225" s="414"/>
      <c r="GC225" s="418" t="s">
        <v>159</v>
      </c>
      <c r="GD225" s="419"/>
      <c r="GE225" s="420"/>
      <c r="GF225" s="421"/>
      <c r="GG225" s="413"/>
      <c r="GH225" s="414"/>
      <c r="GI225" s="414"/>
      <c r="GJ225" s="414"/>
      <c r="GK225" s="418" t="s">
        <v>159</v>
      </c>
      <c r="GL225" s="419"/>
      <c r="GM225" s="420"/>
      <c r="GN225" s="421"/>
      <c r="GO225" s="413"/>
      <c r="GP225" s="414"/>
      <c r="GQ225" s="414"/>
      <c r="GR225" s="414"/>
      <c r="GS225" s="418" t="s">
        <v>159</v>
      </c>
      <c r="GT225" s="419"/>
      <c r="GU225" s="420"/>
      <c r="GV225" s="421"/>
      <c r="GW225" s="413"/>
      <c r="GX225" s="414"/>
      <c r="GY225" s="414"/>
      <c r="GZ225" s="414"/>
      <c r="HA225" s="418" t="s">
        <v>159</v>
      </c>
      <c r="HB225" s="419"/>
      <c r="HC225" s="420"/>
      <c r="HD225" s="421"/>
      <c r="HE225" s="413"/>
      <c r="HF225" s="414"/>
      <c r="HG225" s="414"/>
      <c r="HH225" s="414"/>
      <c r="HI225" s="418" t="s">
        <v>159</v>
      </c>
      <c r="HJ225" s="419"/>
      <c r="HK225" s="420"/>
      <c r="HL225" s="421"/>
      <c r="HM225" s="413"/>
      <c r="HN225" s="414"/>
      <c r="HO225" s="414"/>
      <c r="HP225" s="414"/>
      <c r="HQ225" s="418" t="s">
        <v>159</v>
      </c>
      <c r="HR225" s="419"/>
      <c r="HS225" s="420"/>
      <c r="HT225" s="421"/>
      <c r="HU225" s="413"/>
      <c r="HV225" s="414"/>
      <c r="HW225" s="414"/>
      <c r="HX225" s="414"/>
      <c r="HY225" s="418" t="s">
        <v>159</v>
      </c>
      <c r="HZ225" s="419"/>
      <c r="IA225" s="420"/>
      <c r="IB225" s="421"/>
      <c r="IC225" s="413"/>
      <c r="ID225" s="414"/>
      <c r="IE225" s="414"/>
      <c r="IF225" s="414"/>
      <c r="IG225" s="418" t="s">
        <v>159</v>
      </c>
      <c r="IH225" s="419"/>
      <c r="II225" s="420"/>
      <c r="IJ225" s="421"/>
      <c r="IK225" s="413"/>
      <c r="IL225" s="414"/>
      <c r="IM225" s="414"/>
      <c r="IN225" s="414"/>
      <c r="IO225" s="418" t="s">
        <v>159</v>
      </c>
      <c r="IP225" s="419"/>
      <c r="IQ225" s="420"/>
      <c r="IR225" s="421"/>
      <c r="IS225" s="413"/>
      <c r="IT225" s="414"/>
      <c r="IU225" s="414"/>
      <c r="IV225" s="414"/>
    </row>
    <row r="226" spans="1:256" ht="25.5" customHeight="1">
      <c r="A226" s="366" t="s">
        <v>235</v>
      </c>
      <c r="B226" s="367"/>
      <c r="C226" s="356" t="s">
        <v>193</v>
      </c>
      <c r="D226" s="356"/>
      <c r="E226" s="351">
        <f>I181</f>
        <v>2739.84</v>
      </c>
      <c r="F226" s="352"/>
      <c r="G226" s="345">
        <f>ROUND((1/800)*E226,2)</f>
        <v>3.42</v>
      </c>
      <c r="H226" s="359"/>
      <c r="I226" s="337"/>
      <c r="J226" s="455"/>
      <c r="K226" s="455"/>
      <c r="L226" s="459"/>
      <c r="M226" s="457"/>
      <c r="N226" s="457"/>
      <c r="O226" s="457"/>
      <c r="P226" s="457"/>
      <c r="Q226" s="417"/>
      <c r="R226" s="411"/>
      <c r="S226" s="411"/>
      <c r="T226" s="421"/>
      <c r="U226" s="413"/>
      <c r="V226" s="414"/>
      <c r="W226" s="414"/>
      <c r="X226" s="414"/>
      <c r="Y226" s="411"/>
      <c r="Z226" s="411"/>
      <c r="AA226" s="411"/>
      <c r="AB226" s="421"/>
      <c r="AC226" s="413"/>
      <c r="AD226" s="414"/>
      <c r="AE226" s="414"/>
      <c r="AF226" s="414"/>
      <c r="AG226" s="411"/>
      <c r="AH226" s="411"/>
      <c r="AI226" s="411"/>
      <c r="AJ226" s="421"/>
      <c r="AK226" s="413"/>
      <c r="AL226" s="414"/>
      <c r="AM226" s="414"/>
      <c r="AN226" s="414"/>
      <c r="AO226" s="411"/>
      <c r="AP226" s="411"/>
      <c r="AQ226" s="411"/>
      <c r="AR226" s="421"/>
      <c r="AS226" s="413"/>
      <c r="AT226" s="414"/>
      <c r="AU226" s="414"/>
      <c r="AV226" s="414"/>
      <c r="AW226" s="411"/>
      <c r="AX226" s="411"/>
      <c r="AY226" s="411"/>
      <c r="AZ226" s="421"/>
      <c r="BA226" s="413"/>
      <c r="BB226" s="414"/>
      <c r="BC226" s="414"/>
      <c r="BD226" s="414"/>
      <c r="BE226" s="411"/>
      <c r="BF226" s="411"/>
      <c r="BG226" s="411"/>
      <c r="BH226" s="421"/>
      <c r="BI226" s="413"/>
      <c r="BJ226" s="414"/>
      <c r="BK226" s="414"/>
      <c r="BL226" s="414"/>
      <c r="BM226" s="411"/>
      <c r="BN226" s="411"/>
      <c r="BO226" s="411"/>
      <c r="BP226" s="421"/>
      <c r="BQ226" s="413"/>
      <c r="BR226" s="414"/>
      <c r="BS226" s="414"/>
      <c r="BT226" s="414"/>
      <c r="BU226" s="411"/>
      <c r="BV226" s="411"/>
      <c r="BW226" s="411"/>
      <c r="BX226" s="421"/>
      <c r="BY226" s="413"/>
      <c r="BZ226" s="414"/>
      <c r="CA226" s="414"/>
      <c r="CB226" s="414"/>
      <c r="CC226" s="411"/>
      <c r="CD226" s="411"/>
      <c r="CE226" s="411"/>
      <c r="CF226" s="421"/>
      <c r="CG226" s="413"/>
      <c r="CH226" s="414"/>
      <c r="CI226" s="414"/>
      <c r="CJ226" s="414"/>
      <c r="CK226" s="411"/>
      <c r="CL226" s="411"/>
      <c r="CM226" s="411"/>
      <c r="CN226" s="421"/>
      <c r="CO226" s="413"/>
      <c r="CP226" s="414"/>
      <c r="CQ226" s="414"/>
      <c r="CR226" s="414"/>
      <c r="CS226" s="411"/>
      <c r="CT226" s="411"/>
      <c r="CU226" s="411"/>
      <c r="CV226" s="421"/>
      <c r="CW226" s="413"/>
      <c r="CX226" s="414"/>
      <c r="CY226" s="414"/>
      <c r="CZ226" s="414"/>
      <c r="DA226" s="411"/>
      <c r="DB226" s="411"/>
      <c r="DC226" s="411"/>
      <c r="DD226" s="421"/>
      <c r="DE226" s="413"/>
      <c r="DF226" s="414"/>
      <c r="DG226" s="414"/>
      <c r="DH226" s="414"/>
      <c r="DI226" s="411"/>
      <c r="DJ226" s="411"/>
      <c r="DK226" s="411"/>
      <c r="DL226" s="421"/>
      <c r="DM226" s="413"/>
      <c r="DN226" s="414"/>
      <c r="DO226" s="414"/>
      <c r="DP226" s="414"/>
      <c r="DQ226" s="411"/>
      <c r="DR226" s="411"/>
      <c r="DS226" s="411"/>
      <c r="DT226" s="421"/>
      <c r="DU226" s="413"/>
      <c r="DV226" s="414"/>
      <c r="DW226" s="414"/>
      <c r="DX226" s="414"/>
      <c r="DY226" s="411"/>
      <c r="DZ226" s="411"/>
      <c r="EA226" s="411"/>
      <c r="EB226" s="421"/>
      <c r="EC226" s="413"/>
      <c r="ED226" s="414"/>
      <c r="EE226" s="414"/>
      <c r="EF226" s="414"/>
      <c r="EG226" s="411"/>
      <c r="EH226" s="411"/>
      <c r="EI226" s="411"/>
      <c r="EJ226" s="421"/>
      <c r="EK226" s="413"/>
      <c r="EL226" s="414"/>
      <c r="EM226" s="414"/>
      <c r="EN226" s="414"/>
      <c r="EO226" s="411"/>
      <c r="EP226" s="411"/>
      <c r="EQ226" s="411"/>
      <c r="ER226" s="421"/>
      <c r="ES226" s="413"/>
      <c r="ET226" s="414"/>
      <c r="EU226" s="414"/>
      <c r="EV226" s="414"/>
      <c r="EW226" s="411"/>
      <c r="EX226" s="411"/>
      <c r="EY226" s="411"/>
      <c r="EZ226" s="421"/>
      <c r="FA226" s="413"/>
      <c r="FB226" s="414"/>
      <c r="FC226" s="414"/>
      <c r="FD226" s="414"/>
      <c r="FE226" s="411"/>
      <c r="FF226" s="411"/>
      <c r="FG226" s="411"/>
      <c r="FH226" s="421"/>
      <c r="FI226" s="413"/>
      <c r="FJ226" s="414"/>
      <c r="FK226" s="414"/>
      <c r="FL226" s="414"/>
      <c r="FM226" s="411"/>
      <c r="FN226" s="411"/>
      <c r="FO226" s="411"/>
      <c r="FP226" s="421"/>
      <c r="FQ226" s="413"/>
      <c r="FR226" s="414"/>
      <c r="FS226" s="414"/>
      <c r="FT226" s="414"/>
      <c r="FU226" s="411"/>
      <c r="FV226" s="411"/>
      <c r="FW226" s="411"/>
      <c r="FX226" s="421"/>
      <c r="FY226" s="413"/>
      <c r="FZ226" s="414"/>
      <c r="GA226" s="414"/>
      <c r="GB226" s="414"/>
      <c r="GC226" s="411"/>
      <c r="GD226" s="411"/>
      <c r="GE226" s="411"/>
      <c r="GF226" s="421"/>
      <c r="GG226" s="413"/>
      <c r="GH226" s="414"/>
      <c r="GI226" s="414"/>
      <c r="GJ226" s="414"/>
      <c r="GK226" s="411"/>
      <c r="GL226" s="411"/>
      <c r="GM226" s="411"/>
      <c r="GN226" s="421"/>
      <c r="GO226" s="413"/>
      <c r="GP226" s="414"/>
      <c r="GQ226" s="414"/>
      <c r="GR226" s="414"/>
      <c r="GS226" s="411"/>
      <c r="GT226" s="411"/>
      <c r="GU226" s="411"/>
      <c r="GV226" s="421"/>
      <c r="GW226" s="413"/>
      <c r="GX226" s="414"/>
      <c r="GY226" s="414"/>
      <c r="GZ226" s="414"/>
      <c r="HA226" s="411"/>
      <c r="HB226" s="411"/>
      <c r="HC226" s="411"/>
      <c r="HD226" s="421"/>
      <c r="HE226" s="413"/>
      <c r="HF226" s="414"/>
      <c r="HG226" s="414"/>
      <c r="HH226" s="414"/>
      <c r="HI226" s="411"/>
      <c r="HJ226" s="411"/>
      <c r="HK226" s="411"/>
      <c r="HL226" s="421"/>
      <c r="HM226" s="413"/>
      <c r="HN226" s="414"/>
      <c r="HO226" s="414"/>
      <c r="HP226" s="414"/>
      <c r="HQ226" s="411"/>
      <c r="HR226" s="411"/>
      <c r="HS226" s="411"/>
      <c r="HT226" s="421"/>
      <c r="HU226" s="413"/>
      <c r="HV226" s="414"/>
      <c r="HW226" s="414"/>
      <c r="HX226" s="414"/>
      <c r="HY226" s="411"/>
      <c r="HZ226" s="411"/>
      <c r="IA226" s="411"/>
      <c r="IB226" s="421"/>
      <c r="IC226" s="413"/>
      <c r="ID226" s="414"/>
      <c r="IE226" s="414"/>
      <c r="IF226" s="414"/>
      <c r="IG226" s="411"/>
      <c r="IH226" s="411"/>
      <c r="II226" s="411"/>
      <c r="IJ226" s="421"/>
      <c r="IK226" s="413"/>
      <c r="IL226" s="414"/>
      <c r="IM226" s="414"/>
      <c r="IN226" s="414"/>
      <c r="IO226" s="411"/>
      <c r="IP226" s="411"/>
      <c r="IQ226" s="411"/>
      <c r="IR226" s="421"/>
      <c r="IS226" s="413"/>
      <c r="IT226" s="414"/>
      <c r="IU226" s="414"/>
      <c r="IV226" s="414"/>
    </row>
    <row r="227" spans="1:256" ht="14.25" customHeight="1">
      <c r="A227" s="347" t="s">
        <v>134</v>
      </c>
      <c r="B227" s="348"/>
      <c r="C227" s="349"/>
      <c r="D227" s="349"/>
      <c r="E227" s="349"/>
      <c r="F227" s="350"/>
      <c r="G227" s="401">
        <f>SUM(G225+G226)</f>
        <v>3.42</v>
      </c>
      <c r="H227" s="402"/>
      <c r="I227" s="403"/>
      <c r="J227" s="455"/>
      <c r="K227" s="455"/>
      <c r="L227" s="459"/>
      <c r="M227" s="457"/>
      <c r="N227" s="457"/>
      <c r="O227" s="457"/>
      <c r="P227" s="457"/>
      <c r="Q227" s="417"/>
      <c r="R227" s="411"/>
      <c r="S227" s="411"/>
      <c r="T227" s="421"/>
      <c r="U227" s="413"/>
      <c r="V227" s="414"/>
      <c r="W227" s="414"/>
      <c r="X227" s="414"/>
      <c r="Y227" s="411"/>
      <c r="Z227" s="411"/>
      <c r="AA227" s="411"/>
      <c r="AB227" s="421"/>
      <c r="AC227" s="413"/>
      <c r="AD227" s="414"/>
      <c r="AE227" s="414"/>
      <c r="AF227" s="414"/>
      <c r="AG227" s="411"/>
      <c r="AH227" s="411"/>
      <c r="AI227" s="411"/>
      <c r="AJ227" s="421"/>
      <c r="AK227" s="413"/>
      <c r="AL227" s="414"/>
      <c r="AM227" s="414"/>
      <c r="AN227" s="414"/>
      <c r="AO227" s="411"/>
      <c r="AP227" s="411"/>
      <c r="AQ227" s="411"/>
      <c r="AR227" s="421"/>
      <c r="AS227" s="413"/>
      <c r="AT227" s="414"/>
      <c r="AU227" s="414"/>
      <c r="AV227" s="414"/>
      <c r="AW227" s="411"/>
      <c r="AX227" s="411"/>
      <c r="AY227" s="411"/>
      <c r="AZ227" s="421"/>
      <c r="BA227" s="413"/>
      <c r="BB227" s="414"/>
      <c r="BC227" s="414"/>
      <c r="BD227" s="414"/>
      <c r="BE227" s="411"/>
      <c r="BF227" s="411"/>
      <c r="BG227" s="411"/>
      <c r="BH227" s="421"/>
      <c r="BI227" s="413"/>
      <c r="BJ227" s="414"/>
      <c r="BK227" s="414"/>
      <c r="BL227" s="414"/>
      <c r="BM227" s="411"/>
      <c r="BN227" s="411"/>
      <c r="BO227" s="411"/>
      <c r="BP227" s="421"/>
      <c r="BQ227" s="413"/>
      <c r="BR227" s="414"/>
      <c r="BS227" s="414"/>
      <c r="BT227" s="414"/>
      <c r="BU227" s="411"/>
      <c r="BV227" s="411"/>
      <c r="BW227" s="411"/>
      <c r="BX227" s="421"/>
      <c r="BY227" s="413"/>
      <c r="BZ227" s="414"/>
      <c r="CA227" s="414"/>
      <c r="CB227" s="414"/>
      <c r="CC227" s="411"/>
      <c r="CD227" s="411"/>
      <c r="CE227" s="411"/>
      <c r="CF227" s="421"/>
      <c r="CG227" s="413"/>
      <c r="CH227" s="414"/>
      <c r="CI227" s="414"/>
      <c r="CJ227" s="414"/>
      <c r="CK227" s="411"/>
      <c r="CL227" s="411"/>
      <c r="CM227" s="411"/>
      <c r="CN227" s="421"/>
      <c r="CO227" s="413"/>
      <c r="CP227" s="414"/>
      <c r="CQ227" s="414"/>
      <c r="CR227" s="414"/>
      <c r="CS227" s="411"/>
      <c r="CT227" s="411"/>
      <c r="CU227" s="411"/>
      <c r="CV227" s="421"/>
      <c r="CW227" s="413"/>
      <c r="CX227" s="414"/>
      <c r="CY227" s="414"/>
      <c r="CZ227" s="414"/>
      <c r="DA227" s="411"/>
      <c r="DB227" s="411"/>
      <c r="DC227" s="411"/>
      <c r="DD227" s="421"/>
      <c r="DE227" s="413"/>
      <c r="DF227" s="414"/>
      <c r="DG227" s="414"/>
      <c r="DH227" s="414"/>
      <c r="DI227" s="411"/>
      <c r="DJ227" s="411"/>
      <c r="DK227" s="411"/>
      <c r="DL227" s="421"/>
      <c r="DM227" s="413"/>
      <c r="DN227" s="414"/>
      <c r="DO227" s="414"/>
      <c r="DP227" s="414"/>
      <c r="DQ227" s="411"/>
      <c r="DR227" s="411"/>
      <c r="DS227" s="411"/>
      <c r="DT227" s="421"/>
      <c r="DU227" s="413"/>
      <c r="DV227" s="414"/>
      <c r="DW227" s="414"/>
      <c r="DX227" s="414"/>
      <c r="DY227" s="411"/>
      <c r="DZ227" s="411"/>
      <c r="EA227" s="411"/>
      <c r="EB227" s="421"/>
      <c r="EC227" s="413"/>
      <c r="ED227" s="414"/>
      <c r="EE227" s="414"/>
      <c r="EF227" s="414"/>
      <c r="EG227" s="411"/>
      <c r="EH227" s="411"/>
      <c r="EI227" s="411"/>
      <c r="EJ227" s="421"/>
      <c r="EK227" s="413"/>
      <c r="EL227" s="414"/>
      <c r="EM227" s="414"/>
      <c r="EN227" s="414"/>
      <c r="EO227" s="411"/>
      <c r="EP227" s="411"/>
      <c r="EQ227" s="411"/>
      <c r="ER227" s="421"/>
      <c r="ES227" s="413"/>
      <c r="ET227" s="414"/>
      <c r="EU227" s="414"/>
      <c r="EV227" s="414"/>
      <c r="EW227" s="411"/>
      <c r="EX227" s="411"/>
      <c r="EY227" s="411"/>
      <c r="EZ227" s="421"/>
      <c r="FA227" s="413"/>
      <c r="FB227" s="414"/>
      <c r="FC227" s="414"/>
      <c r="FD227" s="414"/>
      <c r="FE227" s="411"/>
      <c r="FF227" s="411"/>
      <c r="FG227" s="411"/>
      <c r="FH227" s="421"/>
      <c r="FI227" s="413"/>
      <c r="FJ227" s="414"/>
      <c r="FK227" s="414"/>
      <c r="FL227" s="414"/>
      <c r="FM227" s="411"/>
      <c r="FN227" s="411"/>
      <c r="FO227" s="411"/>
      <c r="FP227" s="421"/>
      <c r="FQ227" s="413"/>
      <c r="FR227" s="414"/>
      <c r="FS227" s="414"/>
      <c r="FT227" s="414"/>
      <c r="FU227" s="411"/>
      <c r="FV227" s="411"/>
      <c r="FW227" s="411"/>
      <c r="FX227" s="421"/>
      <c r="FY227" s="413"/>
      <c r="FZ227" s="414"/>
      <c r="GA227" s="414"/>
      <c r="GB227" s="414"/>
      <c r="GC227" s="411"/>
      <c r="GD227" s="411"/>
      <c r="GE227" s="411"/>
      <c r="GF227" s="421"/>
      <c r="GG227" s="413"/>
      <c r="GH227" s="414"/>
      <c r="GI227" s="414"/>
      <c r="GJ227" s="414"/>
      <c r="GK227" s="411"/>
      <c r="GL227" s="411"/>
      <c r="GM227" s="411"/>
      <c r="GN227" s="421"/>
      <c r="GO227" s="413"/>
      <c r="GP227" s="414"/>
      <c r="GQ227" s="414"/>
      <c r="GR227" s="414"/>
      <c r="GS227" s="411"/>
      <c r="GT227" s="411"/>
      <c r="GU227" s="411"/>
      <c r="GV227" s="421"/>
      <c r="GW227" s="413"/>
      <c r="GX227" s="414"/>
      <c r="GY227" s="414"/>
      <c r="GZ227" s="414"/>
      <c r="HA227" s="411"/>
      <c r="HB227" s="411"/>
      <c r="HC227" s="411"/>
      <c r="HD227" s="421"/>
      <c r="HE227" s="413"/>
      <c r="HF227" s="414"/>
      <c r="HG227" s="414"/>
      <c r="HH227" s="414"/>
      <c r="HI227" s="411"/>
      <c r="HJ227" s="411"/>
      <c r="HK227" s="411"/>
      <c r="HL227" s="421"/>
      <c r="HM227" s="413"/>
      <c r="HN227" s="414"/>
      <c r="HO227" s="414"/>
      <c r="HP227" s="414"/>
      <c r="HQ227" s="411"/>
      <c r="HR227" s="411"/>
      <c r="HS227" s="411"/>
      <c r="HT227" s="421"/>
      <c r="HU227" s="413"/>
      <c r="HV227" s="414"/>
      <c r="HW227" s="414"/>
      <c r="HX227" s="414"/>
      <c r="HY227" s="411"/>
      <c r="HZ227" s="411"/>
      <c r="IA227" s="411"/>
      <c r="IB227" s="421"/>
      <c r="IC227" s="413"/>
      <c r="ID227" s="414"/>
      <c r="IE227" s="414"/>
      <c r="IF227" s="414"/>
      <c r="IG227" s="411"/>
      <c r="IH227" s="411"/>
      <c r="II227" s="411"/>
      <c r="IJ227" s="421"/>
      <c r="IK227" s="413"/>
      <c r="IL227" s="414"/>
      <c r="IM227" s="414"/>
      <c r="IN227" s="414"/>
      <c r="IO227" s="411"/>
      <c r="IP227" s="411"/>
      <c r="IQ227" s="411"/>
      <c r="IR227" s="421"/>
      <c r="IS227" s="413"/>
      <c r="IT227" s="414"/>
      <c r="IU227" s="414"/>
      <c r="IV227" s="414"/>
    </row>
    <row r="228" spans="1:256" ht="9" customHeight="1">
      <c r="A228" s="593"/>
      <c r="B228" s="594"/>
      <c r="C228" s="407"/>
      <c r="D228" s="407"/>
      <c r="E228" s="407"/>
      <c r="F228" s="407"/>
      <c r="G228" s="407"/>
      <c r="H228" s="407"/>
      <c r="I228" s="467"/>
      <c r="J228" s="455"/>
      <c r="K228" s="455"/>
      <c r="L228" s="459"/>
      <c r="M228" s="457"/>
      <c r="N228" s="457"/>
      <c r="O228" s="457"/>
      <c r="P228" s="457"/>
      <c r="Q228" s="417"/>
      <c r="R228" s="411"/>
      <c r="S228" s="411"/>
      <c r="T228" s="421"/>
      <c r="U228" s="413"/>
      <c r="V228" s="414"/>
      <c r="W228" s="414"/>
      <c r="X228" s="414"/>
      <c r="Y228" s="411"/>
      <c r="Z228" s="411"/>
      <c r="AA228" s="411"/>
      <c r="AB228" s="421"/>
      <c r="AC228" s="413"/>
      <c r="AD228" s="414"/>
      <c r="AE228" s="414"/>
      <c r="AF228" s="414"/>
      <c r="AG228" s="411"/>
      <c r="AH228" s="411"/>
      <c r="AI228" s="411"/>
      <c r="AJ228" s="421"/>
      <c r="AK228" s="413"/>
      <c r="AL228" s="414"/>
      <c r="AM228" s="414"/>
      <c r="AN228" s="414"/>
      <c r="AO228" s="411"/>
      <c r="AP228" s="411"/>
      <c r="AQ228" s="411"/>
      <c r="AR228" s="421"/>
      <c r="AS228" s="413"/>
      <c r="AT228" s="414"/>
      <c r="AU228" s="414"/>
      <c r="AV228" s="414"/>
      <c r="AW228" s="411"/>
      <c r="AX228" s="411"/>
      <c r="AY228" s="411"/>
      <c r="AZ228" s="421"/>
      <c r="BA228" s="413"/>
      <c r="BB228" s="414"/>
      <c r="BC228" s="414"/>
      <c r="BD228" s="414"/>
      <c r="BE228" s="411"/>
      <c r="BF228" s="411"/>
      <c r="BG228" s="411"/>
      <c r="BH228" s="421"/>
      <c r="BI228" s="413"/>
      <c r="BJ228" s="414"/>
      <c r="BK228" s="414"/>
      <c r="BL228" s="414"/>
      <c r="BM228" s="411"/>
      <c r="BN228" s="411"/>
      <c r="BO228" s="411"/>
      <c r="BP228" s="421"/>
      <c r="BQ228" s="413"/>
      <c r="BR228" s="414"/>
      <c r="BS228" s="414"/>
      <c r="BT228" s="414"/>
      <c r="BU228" s="411"/>
      <c r="BV228" s="411"/>
      <c r="BW228" s="411"/>
      <c r="BX228" s="421"/>
      <c r="BY228" s="413"/>
      <c r="BZ228" s="414"/>
      <c r="CA228" s="414"/>
      <c r="CB228" s="414"/>
      <c r="CC228" s="411"/>
      <c r="CD228" s="411"/>
      <c r="CE228" s="411"/>
      <c r="CF228" s="421"/>
      <c r="CG228" s="413"/>
      <c r="CH228" s="414"/>
      <c r="CI228" s="414"/>
      <c r="CJ228" s="414"/>
      <c r="CK228" s="411"/>
      <c r="CL228" s="411"/>
      <c r="CM228" s="411"/>
      <c r="CN228" s="421"/>
      <c r="CO228" s="413"/>
      <c r="CP228" s="414"/>
      <c r="CQ228" s="414"/>
      <c r="CR228" s="414"/>
      <c r="CS228" s="411"/>
      <c r="CT228" s="411"/>
      <c r="CU228" s="411"/>
      <c r="CV228" s="421"/>
      <c r="CW228" s="413"/>
      <c r="CX228" s="414"/>
      <c r="CY228" s="414"/>
      <c r="CZ228" s="414"/>
      <c r="DA228" s="411"/>
      <c r="DB228" s="411"/>
      <c r="DC228" s="411"/>
      <c r="DD228" s="421"/>
      <c r="DE228" s="413"/>
      <c r="DF228" s="414"/>
      <c r="DG228" s="414"/>
      <c r="DH228" s="414"/>
      <c r="DI228" s="411"/>
      <c r="DJ228" s="411"/>
      <c r="DK228" s="411"/>
      <c r="DL228" s="421"/>
      <c r="DM228" s="413"/>
      <c r="DN228" s="414"/>
      <c r="DO228" s="414"/>
      <c r="DP228" s="414"/>
      <c r="DQ228" s="411"/>
      <c r="DR228" s="411"/>
      <c r="DS228" s="411"/>
      <c r="DT228" s="421"/>
      <c r="DU228" s="413"/>
      <c r="DV228" s="414"/>
      <c r="DW228" s="414"/>
      <c r="DX228" s="414"/>
      <c r="DY228" s="411"/>
      <c r="DZ228" s="411"/>
      <c r="EA228" s="411"/>
      <c r="EB228" s="421"/>
      <c r="EC228" s="413"/>
      <c r="ED228" s="414"/>
      <c r="EE228" s="414"/>
      <c r="EF228" s="414"/>
      <c r="EG228" s="411"/>
      <c r="EH228" s="411"/>
      <c r="EI228" s="411"/>
      <c r="EJ228" s="421"/>
      <c r="EK228" s="413"/>
      <c r="EL228" s="414"/>
      <c r="EM228" s="414"/>
      <c r="EN228" s="414"/>
      <c r="EO228" s="411"/>
      <c r="EP228" s="411"/>
      <c r="EQ228" s="411"/>
      <c r="ER228" s="421"/>
      <c r="ES228" s="413"/>
      <c r="ET228" s="414"/>
      <c r="EU228" s="414"/>
      <c r="EV228" s="414"/>
      <c r="EW228" s="411"/>
      <c r="EX228" s="411"/>
      <c r="EY228" s="411"/>
      <c r="EZ228" s="421"/>
      <c r="FA228" s="413"/>
      <c r="FB228" s="414"/>
      <c r="FC228" s="414"/>
      <c r="FD228" s="414"/>
      <c r="FE228" s="411"/>
      <c r="FF228" s="411"/>
      <c r="FG228" s="411"/>
      <c r="FH228" s="421"/>
      <c r="FI228" s="413"/>
      <c r="FJ228" s="414"/>
      <c r="FK228" s="414"/>
      <c r="FL228" s="414"/>
      <c r="FM228" s="411"/>
      <c r="FN228" s="411"/>
      <c r="FO228" s="411"/>
      <c r="FP228" s="421"/>
      <c r="FQ228" s="413"/>
      <c r="FR228" s="414"/>
      <c r="FS228" s="414"/>
      <c r="FT228" s="414"/>
      <c r="FU228" s="411"/>
      <c r="FV228" s="411"/>
      <c r="FW228" s="411"/>
      <c r="FX228" s="421"/>
      <c r="FY228" s="413"/>
      <c r="FZ228" s="414"/>
      <c r="GA228" s="414"/>
      <c r="GB228" s="414"/>
      <c r="GC228" s="411"/>
      <c r="GD228" s="411"/>
      <c r="GE228" s="411"/>
      <c r="GF228" s="421"/>
      <c r="GG228" s="413"/>
      <c r="GH228" s="414"/>
      <c r="GI228" s="414"/>
      <c r="GJ228" s="414"/>
      <c r="GK228" s="411"/>
      <c r="GL228" s="411"/>
      <c r="GM228" s="411"/>
      <c r="GN228" s="421"/>
      <c r="GO228" s="413"/>
      <c r="GP228" s="414"/>
      <c r="GQ228" s="414"/>
      <c r="GR228" s="414"/>
      <c r="GS228" s="411"/>
      <c r="GT228" s="411"/>
      <c r="GU228" s="411"/>
      <c r="GV228" s="421"/>
      <c r="GW228" s="413"/>
      <c r="GX228" s="414"/>
      <c r="GY228" s="414"/>
      <c r="GZ228" s="414"/>
      <c r="HA228" s="411"/>
      <c r="HB228" s="411"/>
      <c r="HC228" s="411"/>
      <c r="HD228" s="421"/>
      <c r="HE228" s="413"/>
      <c r="HF228" s="414"/>
      <c r="HG228" s="414"/>
      <c r="HH228" s="414"/>
      <c r="HI228" s="411"/>
      <c r="HJ228" s="411"/>
      <c r="HK228" s="411"/>
      <c r="HL228" s="421"/>
      <c r="HM228" s="413"/>
      <c r="HN228" s="414"/>
      <c r="HO228" s="414"/>
      <c r="HP228" s="414"/>
      <c r="HQ228" s="411"/>
      <c r="HR228" s="411"/>
      <c r="HS228" s="411"/>
      <c r="HT228" s="421"/>
      <c r="HU228" s="413"/>
      <c r="HV228" s="414"/>
      <c r="HW228" s="414"/>
      <c r="HX228" s="414"/>
      <c r="HY228" s="411"/>
      <c r="HZ228" s="411"/>
      <c r="IA228" s="411"/>
      <c r="IB228" s="421"/>
      <c r="IC228" s="413"/>
      <c r="ID228" s="414"/>
      <c r="IE228" s="414"/>
      <c r="IF228" s="414"/>
      <c r="IG228" s="411"/>
      <c r="IH228" s="411"/>
      <c r="II228" s="411"/>
      <c r="IJ228" s="421"/>
      <c r="IK228" s="413"/>
      <c r="IL228" s="414"/>
      <c r="IM228" s="414"/>
      <c r="IN228" s="414"/>
      <c r="IO228" s="411"/>
      <c r="IP228" s="411"/>
      <c r="IQ228" s="411"/>
      <c r="IR228" s="421"/>
      <c r="IS228" s="413"/>
      <c r="IT228" s="414"/>
      <c r="IU228" s="414"/>
      <c r="IV228" s="414"/>
    </row>
    <row r="229" spans="1:256" ht="44.25" customHeight="1">
      <c r="A229" s="434" t="s">
        <v>392</v>
      </c>
      <c r="B229" s="434"/>
      <c r="C229" s="434"/>
      <c r="D229" s="434"/>
      <c r="E229" s="434"/>
      <c r="F229" s="434"/>
      <c r="G229" s="434"/>
      <c r="H229" s="434"/>
      <c r="I229" s="435"/>
    </row>
    <row r="230" spans="1:256" ht="44.25" customHeight="1">
      <c r="A230" s="579" t="s">
        <v>257</v>
      </c>
      <c r="B230" s="580"/>
      <c r="C230" s="400" t="s">
        <v>151</v>
      </c>
      <c r="D230" s="400"/>
      <c r="E230" s="400" t="s">
        <v>152</v>
      </c>
      <c r="F230" s="400"/>
      <c r="G230" s="338" t="s">
        <v>150</v>
      </c>
      <c r="H230" s="339"/>
      <c r="I230" s="340"/>
    </row>
    <row r="231" spans="1:256" ht="39.75" customHeight="1">
      <c r="A231" s="360" t="s">
        <v>249</v>
      </c>
      <c r="B231" s="361"/>
      <c r="C231" s="377" t="s">
        <v>194</v>
      </c>
      <c r="D231" s="377"/>
      <c r="E231" s="341">
        <v>0</v>
      </c>
      <c r="F231" s="341"/>
      <c r="G231" s="335">
        <f>ROUND((1/1200)*E231,2)</f>
        <v>0</v>
      </c>
      <c r="H231" s="336"/>
      <c r="I231" s="337"/>
    </row>
    <row r="232" spans="1:256" ht="42" customHeight="1">
      <c r="A232" s="360" t="s">
        <v>236</v>
      </c>
      <c r="B232" s="361"/>
      <c r="C232" s="377" t="s">
        <v>191</v>
      </c>
      <c r="D232" s="377"/>
      <c r="E232" s="341">
        <f>I181</f>
        <v>2739.84</v>
      </c>
      <c r="F232" s="341"/>
      <c r="G232" s="341">
        <f>ROUND((1/1200)*E232,2)</f>
        <v>2.2799999999999998</v>
      </c>
      <c r="H232" s="341"/>
      <c r="I232" s="397"/>
      <c r="J232" s="17"/>
    </row>
    <row r="233" spans="1:256" ht="16.5" customHeight="1">
      <c r="A233" s="370" t="s">
        <v>134</v>
      </c>
      <c r="B233" s="371"/>
      <c r="C233" s="372"/>
      <c r="D233" s="372"/>
      <c r="E233" s="372"/>
      <c r="F233" s="373"/>
      <c r="G233" s="357">
        <f>SUM(G231+G232)</f>
        <v>2.2799999999999998</v>
      </c>
      <c r="H233" s="358"/>
      <c r="I233" s="340"/>
      <c r="J233" s="17"/>
    </row>
    <row r="234" spans="1:256" ht="8.25" customHeight="1">
      <c r="A234" s="378"/>
      <c r="B234" s="379"/>
      <c r="C234" s="380"/>
      <c r="D234" s="380"/>
      <c r="E234" s="380"/>
      <c r="F234" s="380"/>
      <c r="G234" s="380"/>
      <c r="H234" s="380"/>
      <c r="I234" s="337"/>
    </row>
    <row r="235" spans="1:256" ht="27.75" customHeight="1">
      <c r="A235" s="436" t="s">
        <v>250</v>
      </c>
      <c r="B235" s="437"/>
      <c r="C235" s="369" t="s">
        <v>195</v>
      </c>
      <c r="D235" s="369"/>
      <c r="E235" s="344">
        <v>0</v>
      </c>
      <c r="F235" s="344"/>
      <c r="G235" s="335">
        <f>ROUND((1/1200)*E235,2)</f>
        <v>0</v>
      </c>
      <c r="H235" s="336"/>
      <c r="I235" s="337"/>
    </row>
    <row r="236" spans="1:256" ht="27" customHeight="1">
      <c r="A236" s="360" t="s">
        <v>237</v>
      </c>
      <c r="B236" s="361"/>
      <c r="C236" s="381" t="s">
        <v>196</v>
      </c>
      <c r="D236" s="382"/>
      <c r="E236" s="341">
        <f>I181</f>
        <v>2739.84</v>
      </c>
      <c r="F236" s="341"/>
      <c r="G236" s="335">
        <f>ROUND((1/6000)*E236,2)</f>
        <v>0.46</v>
      </c>
      <c r="H236" s="336"/>
      <c r="I236" s="337"/>
    </row>
    <row r="237" spans="1:256" ht="16.5" customHeight="1">
      <c r="A237" s="370" t="s">
        <v>134</v>
      </c>
      <c r="B237" s="371"/>
      <c r="C237" s="372"/>
      <c r="D237" s="372"/>
      <c r="E237" s="372"/>
      <c r="F237" s="373"/>
      <c r="G237" s="357">
        <f>SUM(G235+G236)</f>
        <v>0.46</v>
      </c>
      <c r="H237" s="358"/>
      <c r="I237" s="340"/>
    </row>
    <row r="238" spans="1:256" ht="7.5" customHeight="1">
      <c r="A238" s="374"/>
      <c r="B238" s="375"/>
      <c r="C238" s="376"/>
      <c r="D238" s="376"/>
      <c r="E238" s="376"/>
      <c r="F238" s="376"/>
      <c r="G238" s="376"/>
      <c r="H238" s="376"/>
      <c r="I238" s="337"/>
    </row>
    <row r="239" spans="1:256" ht="34.5" customHeight="1">
      <c r="A239" s="404" t="s">
        <v>251</v>
      </c>
      <c r="B239" s="404"/>
      <c r="C239" s="369" t="s">
        <v>194</v>
      </c>
      <c r="D239" s="369"/>
      <c r="E239" s="344">
        <v>0</v>
      </c>
      <c r="F239" s="344"/>
      <c r="G239" s="341">
        <f>ROUND((1/1200)*E239,2)</f>
        <v>0</v>
      </c>
      <c r="H239" s="341"/>
      <c r="I239" s="397"/>
    </row>
    <row r="240" spans="1:256" ht="30" customHeight="1">
      <c r="A240" s="428" t="s">
        <v>238</v>
      </c>
      <c r="B240" s="428"/>
      <c r="C240" s="377" t="s">
        <v>191</v>
      </c>
      <c r="D240" s="377"/>
      <c r="E240" s="341">
        <f>I181</f>
        <v>2739.84</v>
      </c>
      <c r="F240" s="341"/>
      <c r="G240" s="335">
        <f>ROUND((1/1200)*E240,2)</f>
        <v>2.2799999999999998</v>
      </c>
      <c r="H240" s="336"/>
      <c r="I240" s="337"/>
    </row>
    <row r="241" spans="1:9" ht="15.75" customHeight="1">
      <c r="A241" s="370" t="s">
        <v>134</v>
      </c>
      <c r="B241" s="371"/>
      <c r="C241" s="372"/>
      <c r="D241" s="372"/>
      <c r="E241" s="372"/>
      <c r="F241" s="373"/>
      <c r="G241" s="357">
        <f>SUM(G239+G240)</f>
        <v>2.2799999999999998</v>
      </c>
      <c r="H241" s="358"/>
      <c r="I241" s="340"/>
    </row>
    <row r="242" spans="1:9" ht="6.75" customHeight="1">
      <c r="A242" s="374"/>
      <c r="B242" s="375"/>
      <c r="C242" s="376"/>
      <c r="D242" s="376"/>
      <c r="E242" s="376"/>
      <c r="F242" s="376"/>
      <c r="G242" s="376"/>
      <c r="H242" s="376"/>
      <c r="I242" s="337"/>
    </row>
    <row r="243" spans="1:9" ht="36" customHeight="1">
      <c r="A243" s="404" t="s">
        <v>213</v>
      </c>
      <c r="B243" s="404"/>
      <c r="C243" s="369" t="s">
        <v>194</v>
      </c>
      <c r="D243" s="369"/>
      <c r="E243" s="344">
        <v>0</v>
      </c>
      <c r="F243" s="344"/>
      <c r="G243" s="335">
        <f>ROUND((1/1200)*E243,2)</f>
        <v>0</v>
      </c>
      <c r="H243" s="336"/>
      <c r="I243" s="337"/>
    </row>
    <row r="244" spans="1:9" ht="36" customHeight="1">
      <c r="A244" s="428" t="s">
        <v>239</v>
      </c>
      <c r="B244" s="428"/>
      <c r="C244" s="377" t="s">
        <v>191</v>
      </c>
      <c r="D244" s="377"/>
      <c r="E244" s="341">
        <f>I181</f>
        <v>2739.84</v>
      </c>
      <c r="F244" s="341"/>
      <c r="G244" s="335">
        <f>ROUND((1/1200)*E244,2)</f>
        <v>2.2799999999999998</v>
      </c>
      <c r="H244" s="336"/>
      <c r="I244" s="337"/>
    </row>
    <row r="245" spans="1:9" ht="13.5" customHeight="1">
      <c r="A245" s="370" t="s">
        <v>134</v>
      </c>
      <c r="B245" s="371"/>
      <c r="C245" s="372"/>
      <c r="D245" s="372"/>
      <c r="E245" s="372"/>
      <c r="F245" s="373"/>
      <c r="G245" s="357">
        <f>SUM(G243+G244)</f>
        <v>2.2799999999999998</v>
      </c>
      <c r="H245" s="358"/>
      <c r="I245" s="340"/>
    </row>
    <row r="246" spans="1:9" ht="6.75" customHeight="1">
      <c r="A246" s="448"/>
      <c r="B246" s="449"/>
      <c r="C246" s="376"/>
      <c r="D246" s="376"/>
      <c r="E246" s="376"/>
      <c r="F246" s="376"/>
      <c r="G246" s="376"/>
      <c r="H246" s="376"/>
      <c r="I246" s="337"/>
    </row>
    <row r="247" spans="1:9" ht="30.75" customHeight="1">
      <c r="A247" s="404" t="s">
        <v>252</v>
      </c>
      <c r="B247" s="404"/>
      <c r="C247" s="369" t="s">
        <v>194</v>
      </c>
      <c r="D247" s="369"/>
      <c r="E247" s="344">
        <v>0</v>
      </c>
      <c r="F247" s="344"/>
      <c r="G247" s="335">
        <f>ROUND((1/1200)*E247,2)</f>
        <v>0</v>
      </c>
      <c r="H247" s="336"/>
      <c r="I247" s="337"/>
    </row>
    <row r="248" spans="1:9" ht="28.5" customHeight="1">
      <c r="A248" s="429" t="s">
        <v>240</v>
      </c>
      <c r="B248" s="429"/>
      <c r="C248" s="377" t="s">
        <v>191</v>
      </c>
      <c r="D248" s="377"/>
      <c r="E248" s="430">
        <f>I181</f>
        <v>2739.84</v>
      </c>
      <c r="F248" s="430"/>
      <c r="G248" s="335">
        <f>ROUND((1/1200)*E248,2)</f>
        <v>2.2799999999999998</v>
      </c>
      <c r="H248" s="336"/>
      <c r="I248" s="337"/>
    </row>
    <row r="249" spans="1:9" ht="18" customHeight="1">
      <c r="A249" s="385" t="s">
        <v>134</v>
      </c>
      <c r="B249" s="386"/>
      <c r="C249" s="387"/>
      <c r="D249" s="387"/>
      <c r="E249" s="387"/>
      <c r="F249" s="396"/>
      <c r="G249" s="401">
        <f>SUM(G247+G248)</f>
        <v>2.2799999999999998</v>
      </c>
      <c r="H249" s="402"/>
      <c r="I249" s="403"/>
    </row>
    <row r="250" spans="1:9" ht="12.75">
      <c r="A250" s="374"/>
      <c r="B250" s="375"/>
      <c r="C250" s="376"/>
      <c r="D250" s="376"/>
      <c r="E250" s="376"/>
      <c r="F250" s="376"/>
      <c r="G250" s="376"/>
      <c r="H250" s="376"/>
      <c r="I250" s="337"/>
    </row>
    <row r="251" spans="1:9" ht="39.75" customHeight="1">
      <c r="A251" s="404" t="s">
        <v>253</v>
      </c>
      <c r="B251" s="404"/>
      <c r="C251" s="369" t="s">
        <v>197</v>
      </c>
      <c r="D251" s="369"/>
      <c r="E251" s="344">
        <v>0</v>
      </c>
      <c r="F251" s="344"/>
      <c r="G251" s="335">
        <f>ROUND((1/1200)*E251,2)</f>
        <v>0</v>
      </c>
      <c r="H251" s="336"/>
      <c r="I251" s="337"/>
    </row>
    <row r="252" spans="1:9" ht="36.75" customHeight="1">
      <c r="A252" s="428" t="s">
        <v>241</v>
      </c>
      <c r="B252" s="428"/>
      <c r="C252" s="377" t="s">
        <v>198</v>
      </c>
      <c r="D252" s="377"/>
      <c r="E252" s="341">
        <f>I181</f>
        <v>2739.84</v>
      </c>
      <c r="F252" s="341"/>
      <c r="G252" s="335">
        <f>ROUND((1/100000)*E252,2)</f>
        <v>0.03</v>
      </c>
      <c r="H252" s="336"/>
      <c r="I252" s="337"/>
    </row>
    <row r="253" spans="1:9" ht="15.75" customHeight="1">
      <c r="A253" s="370" t="s">
        <v>134</v>
      </c>
      <c r="B253" s="371"/>
      <c r="C253" s="372"/>
      <c r="D253" s="372"/>
      <c r="E253" s="372"/>
      <c r="F253" s="373"/>
      <c r="G253" s="357">
        <f>SUM(G251+G252)</f>
        <v>0.03</v>
      </c>
      <c r="H253" s="358"/>
      <c r="I253" s="340"/>
    </row>
    <row r="254" spans="1:9" ht="12.75">
      <c r="A254" s="374"/>
      <c r="B254" s="375"/>
      <c r="C254" s="376"/>
      <c r="D254" s="376"/>
      <c r="E254" s="376"/>
      <c r="F254" s="376"/>
      <c r="G254" s="376"/>
      <c r="H254" s="376"/>
      <c r="I254" s="337"/>
    </row>
    <row r="255" spans="1:9" ht="12" customHeight="1">
      <c r="A255" s="422" t="s">
        <v>398</v>
      </c>
      <c r="B255" s="423"/>
      <c r="C255" s="423"/>
      <c r="D255" s="423"/>
      <c r="E255" s="423"/>
      <c r="F255" s="423"/>
      <c r="G255" s="423"/>
      <c r="H255" s="423"/>
      <c r="I255" s="424"/>
    </row>
    <row r="256" spans="1:9" ht="36.75" customHeight="1">
      <c r="A256" s="425"/>
      <c r="B256" s="426"/>
      <c r="C256" s="426"/>
      <c r="D256" s="426"/>
      <c r="E256" s="426"/>
      <c r="F256" s="426"/>
      <c r="G256" s="426"/>
      <c r="H256" s="426"/>
      <c r="I256" s="427"/>
    </row>
    <row r="257" spans="1:9" ht="69" customHeight="1">
      <c r="A257" s="36" t="s">
        <v>199</v>
      </c>
      <c r="B257" s="35" t="s">
        <v>200</v>
      </c>
      <c r="C257" s="35" t="s">
        <v>135</v>
      </c>
      <c r="D257" s="400" t="s">
        <v>147</v>
      </c>
      <c r="E257" s="400"/>
      <c r="F257" s="35" t="s">
        <v>399</v>
      </c>
      <c r="G257" s="35" t="s">
        <v>201</v>
      </c>
      <c r="H257" s="338" t="s">
        <v>332</v>
      </c>
      <c r="I257" s="399"/>
    </row>
    <row r="258" spans="1:9" ht="63" customHeight="1">
      <c r="A258" s="79" t="s">
        <v>254</v>
      </c>
      <c r="B258" s="27" t="s">
        <v>202</v>
      </c>
      <c r="C258" s="28" t="s">
        <v>309</v>
      </c>
      <c r="D258" s="405" t="s">
        <v>153</v>
      </c>
      <c r="E258" s="405"/>
      <c r="F258" s="29">
        <f>ROUND((1/(30*110))*16*(1/191.4),7)</f>
        <v>2.5299999999999998E-5</v>
      </c>
      <c r="G258" s="34">
        <v>0</v>
      </c>
      <c r="H258" s="335">
        <v>0</v>
      </c>
      <c r="I258" s="398"/>
    </row>
    <row r="259" spans="1:9" ht="51">
      <c r="A259" s="79" t="s">
        <v>242</v>
      </c>
      <c r="B259" s="27" t="s">
        <v>203</v>
      </c>
      <c r="C259" s="28" t="s">
        <v>309</v>
      </c>
      <c r="D259" s="405" t="s">
        <v>153</v>
      </c>
      <c r="E259" s="405"/>
      <c r="F259" s="29">
        <f>ROUND((1/110)*16*(1/191.4),7)</f>
        <v>7.6000000000000004E-4</v>
      </c>
      <c r="G259" s="34">
        <f>I181</f>
        <v>2739.84</v>
      </c>
      <c r="H259" s="335">
        <f>ROUND(F259*G259,2)</f>
        <v>2.08</v>
      </c>
      <c r="I259" s="398"/>
    </row>
    <row r="260" spans="1:9" ht="12.75">
      <c r="A260" s="370" t="s">
        <v>134</v>
      </c>
      <c r="B260" s="371"/>
      <c r="C260" s="372"/>
      <c r="D260" s="372"/>
      <c r="E260" s="372"/>
      <c r="F260" s="372"/>
      <c r="G260" s="337"/>
      <c r="H260" s="335">
        <f>SUM(H258+H259)</f>
        <v>2.08</v>
      </c>
      <c r="I260" s="398"/>
    </row>
    <row r="261" spans="1:9" ht="7.5" customHeight="1">
      <c r="A261" s="406"/>
      <c r="B261" s="407"/>
      <c r="C261" s="407"/>
      <c r="D261" s="407"/>
      <c r="E261" s="407"/>
      <c r="F261" s="407"/>
      <c r="G261" s="407"/>
      <c r="H261" s="407"/>
      <c r="I261" s="408"/>
    </row>
    <row r="262" spans="1:9" ht="51">
      <c r="A262" s="79" t="s">
        <v>255</v>
      </c>
      <c r="B262" s="74" t="s">
        <v>310</v>
      </c>
      <c r="C262" s="28" t="s">
        <v>309</v>
      </c>
      <c r="D262" s="405" t="s">
        <v>153</v>
      </c>
      <c r="E262" s="405"/>
      <c r="F262" s="29">
        <f>ROUND((1/(30*220))*16*(1/191.4),7)</f>
        <v>1.27E-5</v>
      </c>
      <c r="G262" s="34">
        <v>0</v>
      </c>
      <c r="H262" s="335">
        <v>0</v>
      </c>
      <c r="I262" s="398"/>
    </row>
    <row r="263" spans="1:9" ht="51">
      <c r="A263" s="79" t="s">
        <v>243</v>
      </c>
      <c r="B263" s="27" t="s">
        <v>205</v>
      </c>
      <c r="C263" s="28" t="s">
        <v>309</v>
      </c>
      <c r="D263" s="405" t="s">
        <v>153</v>
      </c>
      <c r="E263" s="405"/>
      <c r="F263" s="29">
        <f>ROUND((1/220)*16*(1/191.4),7)</f>
        <v>3.8000000000000002E-4</v>
      </c>
      <c r="G263" s="34">
        <f>I181</f>
        <v>2739.84</v>
      </c>
      <c r="H263" s="335">
        <f>ROUND(F263*G263,2)</f>
        <v>1.04</v>
      </c>
      <c r="I263" s="398"/>
    </row>
    <row r="264" spans="1:9" ht="12.75">
      <c r="A264" s="370" t="s">
        <v>134</v>
      </c>
      <c r="B264" s="371"/>
      <c r="C264" s="372"/>
      <c r="D264" s="372"/>
      <c r="E264" s="372"/>
      <c r="F264" s="372"/>
      <c r="G264" s="337"/>
      <c r="H264" s="335">
        <f>SUM(H262+H263)</f>
        <v>1.04</v>
      </c>
      <c r="I264" s="398"/>
    </row>
    <row r="265" spans="1:9" ht="6.75" customHeight="1">
      <c r="A265" s="406"/>
      <c r="B265" s="407"/>
      <c r="C265" s="407"/>
      <c r="D265" s="407"/>
      <c r="E265" s="407"/>
      <c r="F265" s="407"/>
      <c r="G265" s="407"/>
      <c r="H265" s="407"/>
      <c r="I265" s="408"/>
    </row>
    <row r="266" spans="1:9" ht="24" customHeight="1">
      <c r="A266" s="79" t="s">
        <v>256</v>
      </c>
      <c r="B266" s="27" t="s">
        <v>204</v>
      </c>
      <c r="C266" s="28" t="s">
        <v>309</v>
      </c>
      <c r="D266" s="405" t="s">
        <v>153</v>
      </c>
      <c r="E266" s="405"/>
      <c r="F266" s="29">
        <f>ROUND((1/(30*220))*16*(1/191.4),7)</f>
        <v>1.27E-5</v>
      </c>
      <c r="G266" s="34">
        <v>0</v>
      </c>
      <c r="H266" s="335">
        <v>0</v>
      </c>
      <c r="I266" s="398"/>
    </row>
    <row r="267" spans="1:9" ht="25.5">
      <c r="A267" s="79" t="s">
        <v>244</v>
      </c>
      <c r="B267" s="20" t="s">
        <v>205</v>
      </c>
      <c r="C267" s="21" t="s">
        <v>309</v>
      </c>
      <c r="D267" s="405" t="s">
        <v>153</v>
      </c>
      <c r="E267" s="405"/>
      <c r="F267" s="29">
        <f>ROUND((1/220)*16*(1/191.4),7)</f>
        <v>3.8000000000000002E-4</v>
      </c>
      <c r="G267" s="34">
        <f>I181</f>
        <v>2739.84</v>
      </c>
      <c r="H267" s="335">
        <f>ROUND(F267*G267,2)</f>
        <v>1.04</v>
      </c>
      <c r="I267" s="398"/>
    </row>
    <row r="268" spans="1:9" ht="12.75">
      <c r="A268" s="385" t="s">
        <v>134</v>
      </c>
      <c r="B268" s="386"/>
      <c r="C268" s="387"/>
      <c r="D268" s="387"/>
      <c r="E268" s="387"/>
      <c r="F268" s="387"/>
      <c r="G268" s="388"/>
      <c r="H268" s="409">
        <f>SUM(H266+H267)</f>
        <v>1.04</v>
      </c>
      <c r="I268" s="398"/>
    </row>
    <row r="269" spans="1:9" ht="12.75">
      <c r="A269" s="581"/>
      <c r="B269" s="407"/>
      <c r="C269" s="407"/>
      <c r="D269" s="407"/>
      <c r="E269" s="407"/>
      <c r="F269" s="407"/>
      <c r="G269" s="407"/>
      <c r="H269" s="407"/>
      <c r="I269" s="408"/>
    </row>
    <row r="270" spans="1:9" ht="25.5" customHeight="1">
      <c r="A270" s="383" t="s">
        <v>222</v>
      </c>
      <c r="B270" s="384"/>
      <c r="C270" s="384"/>
      <c r="D270" s="384"/>
      <c r="E270" s="384"/>
      <c r="F270" s="384"/>
      <c r="G270" s="384"/>
      <c r="H270" s="384"/>
      <c r="I270" s="384"/>
    </row>
    <row r="271" spans="1:9" ht="63.75">
      <c r="A271" s="37" t="s">
        <v>163</v>
      </c>
      <c r="B271" s="37" t="s">
        <v>217</v>
      </c>
      <c r="C271" s="37" t="s">
        <v>218</v>
      </c>
      <c r="D271" s="582" t="s">
        <v>219</v>
      </c>
      <c r="E271" s="582"/>
      <c r="F271" s="37" t="s">
        <v>400</v>
      </c>
      <c r="G271" s="37" t="s">
        <v>220</v>
      </c>
      <c r="H271" s="603" t="s">
        <v>221</v>
      </c>
      <c r="I271" s="399"/>
    </row>
    <row r="272" spans="1:9" ht="12.75">
      <c r="A272" s="31" t="s">
        <v>155</v>
      </c>
      <c r="B272" s="20" t="s">
        <v>313</v>
      </c>
      <c r="C272" s="21" t="s">
        <v>312</v>
      </c>
      <c r="D272" s="587" t="s">
        <v>316</v>
      </c>
      <c r="E272" s="587"/>
      <c r="F272" s="32">
        <f>ROUND((1/(4*110))*8*(1/1148.4),7)</f>
        <v>1.5800000000000001E-5</v>
      </c>
      <c r="G272" s="33">
        <v>0</v>
      </c>
      <c r="H272" s="389">
        <f>ROUND(F272*G272,2)</f>
        <v>0</v>
      </c>
      <c r="I272" s="390"/>
    </row>
    <row r="273" spans="1:9" ht="12.75">
      <c r="A273" s="31" t="s">
        <v>154</v>
      </c>
      <c r="B273" s="20" t="s">
        <v>203</v>
      </c>
      <c r="C273" s="21" t="s">
        <v>312</v>
      </c>
      <c r="D273" s="601" t="s">
        <v>316</v>
      </c>
      <c r="E273" s="602"/>
      <c r="F273" s="32">
        <f>ROUND((1/110)*8*(1/1148.4),7)</f>
        <v>6.3299999999999994E-5</v>
      </c>
      <c r="G273" s="33">
        <f>I181</f>
        <v>2739.84</v>
      </c>
      <c r="H273" s="389">
        <f>ROUND(F273*G273,2)</f>
        <v>0.17</v>
      </c>
      <c r="I273" s="390"/>
    </row>
    <row r="274" spans="1:9" ht="12.75">
      <c r="A274" s="492" t="s">
        <v>134</v>
      </c>
      <c r="B274" s="492"/>
      <c r="C274" s="604"/>
      <c r="D274" s="604"/>
      <c r="E274" s="604"/>
      <c r="F274" s="604"/>
      <c r="G274" s="649"/>
      <c r="H274" s="409">
        <f>SUM(H272+H273)</f>
        <v>0.17</v>
      </c>
      <c r="I274" s="398"/>
    </row>
    <row r="275" spans="1:9" ht="9" customHeight="1">
      <c r="A275" s="406"/>
      <c r="B275" s="407"/>
      <c r="C275" s="407"/>
      <c r="D275" s="407"/>
      <c r="E275" s="407"/>
      <c r="F275" s="407"/>
      <c r="G275" s="407"/>
      <c r="H275" s="407"/>
      <c r="I275" s="467"/>
    </row>
    <row r="276" spans="1:9" ht="12.75">
      <c r="A276" s="444" t="s">
        <v>206</v>
      </c>
      <c r="B276" s="444"/>
      <c r="C276" s="444"/>
      <c r="D276" s="444"/>
      <c r="E276" s="444"/>
      <c r="F276" s="444"/>
      <c r="G276" s="444"/>
      <c r="H276" s="444"/>
      <c r="I276" s="39"/>
    </row>
    <row r="277" spans="1:9" ht="12.75">
      <c r="A277" s="445"/>
      <c r="B277" s="445"/>
      <c r="C277" s="445"/>
      <c r="D277" s="445"/>
      <c r="E277" s="445"/>
      <c r="F277" s="445"/>
      <c r="G277" s="446"/>
      <c r="H277" s="446"/>
      <c r="I277" s="40"/>
    </row>
    <row r="278" spans="1:9" ht="12.75">
      <c r="A278" s="338" t="s">
        <v>163</v>
      </c>
      <c r="B278" s="447"/>
      <c r="C278" s="400" t="s">
        <v>148</v>
      </c>
      <c r="D278" s="338"/>
      <c r="E278" s="400" t="s">
        <v>149</v>
      </c>
      <c r="F278" s="400"/>
      <c r="G278" s="338" t="s">
        <v>150</v>
      </c>
      <c r="H278" s="339"/>
      <c r="I278" s="340"/>
    </row>
    <row r="279" spans="1:9" ht="12.75">
      <c r="A279" s="597" t="s">
        <v>155</v>
      </c>
      <c r="B279" s="598"/>
      <c r="C279" s="599" t="s">
        <v>207</v>
      </c>
      <c r="D279" s="600"/>
      <c r="E279" s="551">
        <v>0</v>
      </c>
      <c r="F279" s="552"/>
      <c r="G279" s="335">
        <v>0</v>
      </c>
      <c r="H279" s="586"/>
      <c r="I279" s="467"/>
    </row>
    <row r="280" spans="1:9" ht="12.75">
      <c r="A280" s="597" t="s">
        <v>154</v>
      </c>
      <c r="B280" s="598"/>
      <c r="C280" s="585" t="s">
        <v>187</v>
      </c>
      <c r="D280" s="586"/>
      <c r="E280" s="551">
        <v>0</v>
      </c>
      <c r="F280" s="552"/>
      <c r="G280" s="844">
        <v>0</v>
      </c>
      <c r="H280" s="600"/>
      <c r="I280" s="845"/>
    </row>
    <row r="281" spans="1:9" ht="12.75">
      <c r="A281" s="492" t="s">
        <v>134</v>
      </c>
      <c r="B281" s="492"/>
      <c r="C281" s="604"/>
      <c r="D281" s="604"/>
      <c r="E281" s="604"/>
      <c r="F281" s="604"/>
      <c r="G281" s="553">
        <f>SUM(G279+G280)</f>
        <v>0</v>
      </c>
      <c r="H281" s="554"/>
      <c r="I281" s="555"/>
    </row>
    <row r="282" spans="1:9" ht="9.75" customHeight="1">
      <c r="A282" s="556"/>
      <c r="B282" s="407"/>
      <c r="C282" s="407"/>
      <c r="D282" s="407"/>
      <c r="E282" s="407"/>
      <c r="F282" s="407"/>
      <c r="G282" s="407"/>
      <c r="H282" s="407"/>
      <c r="I282" s="467"/>
    </row>
    <row r="283" spans="1:9" ht="97.5" customHeight="1" thickBot="1">
      <c r="A283" s="557" t="s">
        <v>416</v>
      </c>
      <c r="B283" s="557"/>
      <c r="C283" s="557"/>
      <c r="D283" s="557"/>
      <c r="E283" s="557"/>
      <c r="F283" s="557"/>
      <c r="G283" s="557"/>
      <c r="H283" s="557"/>
      <c r="I283" s="557"/>
    </row>
    <row r="284" spans="1:9">
      <c r="A284" s="562" t="s">
        <v>111</v>
      </c>
      <c r="B284" s="563"/>
      <c r="C284" s="563"/>
      <c r="D284" s="563"/>
      <c r="E284" s="563"/>
      <c r="F284" s="563"/>
      <c r="G284" s="563"/>
      <c r="H284" s="563"/>
      <c r="I284" s="564"/>
    </row>
    <row r="285" spans="1:9" ht="12.75" thickBot="1">
      <c r="A285" s="565"/>
      <c r="B285" s="566"/>
      <c r="C285" s="566"/>
      <c r="D285" s="566"/>
      <c r="E285" s="566"/>
      <c r="F285" s="566"/>
      <c r="G285" s="566"/>
      <c r="H285" s="566"/>
      <c r="I285" s="567"/>
    </row>
    <row r="286" spans="1:9" ht="25.5">
      <c r="A286" s="560" t="s">
        <v>136</v>
      </c>
      <c r="B286" s="560"/>
      <c r="C286" s="560"/>
      <c r="D286" s="840" t="s">
        <v>137</v>
      </c>
      <c r="E286" s="840"/>
      <c r="F286" s="81" t="s">
        <v>208</v>
      </c>
      <c r="G286" s="841" t="s">
        <v>209</v>
      </c>
      <c r="H286" s="842"/>
      <c r="I286" s="843"/>
    </row>
    <row r="287" spans="1:9" ht="14.1" customHeight="1">
      <c r="A287" s="438" t="s">
        <v>167</v>
      </c>
      <c r="B287" s="438"/>
      <c r="C287" s="438"/>
      <c r="D287" s="558">
        <f>G207</f>
        <v>4.57</v>
      </c>
      <c r="E287" s="559"/>
      <c r="F287" s="100">
        <f t="shared" ref="F287:F293" si="1">H14</f>
        <v>2000</v>
      </c>
      <c r="G287" s="487">
        <f t="shared" ref="G287:G292" si="2">ROUND(D287*F287,2)</f>
        <v>9140</v>
      </c>
      <c r="H287" s="487"/>
      <c r="I287" s="488"/>
    </row>
    <row r="288" spans="1:9" ht="14.1" customHeight="1">
      <c r="A288" s="438" t="s">
        <v>168</v>
      </c>
      <c r="B288" s="438"/>
      <c r="C288" s="438"/>
      <c r="D288" s="558">
        <f>G211</f>
        <v>4.57</v>
      </c>
      <c r="E288" s="559"/>
      <c r="F288" s="100">
        <f t="shared" si="1"/>
        <v>4000</v>
      </c>
      <c r="G288" s="487">
        <f t="shared" si="2"/>
        <v>18280</v>
      </c>
      <c r="H288" s="487"/>
      <c r="I288" s="488"/>
    </row>
    <row r="289" spans="1:11" ht="14.1" customHeight="1">
      <c r="A289" s="438" t="s">
        <v>169</v>
      </c>
      <c r="B289" s="438"/>
      <c r="C289" s="438"/>
      <c r="D289" s="558">
        <v>0</v>
      </c>
      <c r="E289" s="559"/>
      <c r="F289" s="100">
        <f t="shared" si="1"/>
        <v>0</v>
      </c>
      <c r="G289" s="487">
        <f t="shared" si="2"/>
        <v>0</v>
      </c>
      <c r="H289" s="487"/>
      <c r="I289" s="488"/>
    </row>
    <row r="290" spans="1:11" ht="14.1" customHeight="1">
      <c r="A290" s="568" t="s">
        <v>170</v>
      </c>
      <c r="B290" s="569"/>
      <c r="C290" s="570"/>
      <c r="D290" s="558">
        <f>G219</f>
        <v>2.0299999999999998</v>
      </c>
      <c r="E290" s="559"/>
      <c r="F290" s="100">
        <f t="shared" si="1"/>
        <v>400</v>
      </c>
      <c r="G290" s="487">
        <f t="shared" si="2"/>
        <v>812</v>
      </c>
      <c r="H290" s="487"/>
      <c r="I290" s="488"/>
    </row>
    <row r="291" spans="1:11" ht="14.1" customHeight="1">
      <c r="A291" s="438" t="s">
        <v>171</v>
      </c>
      <c r="B291" s="438"/>
      <c r="C291" s="438"/>
      <c r="D291" s="558">
        <v>0</v>
      </c>
      <c r="E291" s="559"/>
      <c r="F291" s="100">
        <f t="shared" si="1"/>
        <v>0</v>
      </c>
      <c r="G291" s="487">
        <f t="shared" si="2"/>
        <v>0</v>
      </c>
      <c r="H291" s="487"/>
      <c r="I291" s="488"/>
    </row>
    <row r="292" spans="1:11" ht="27" customHeight="1">
      <c r="A292" s="809" t="s">
        <v>172</v>
      </c>
      <c r="B292" s="838"/>
      <c r="C292" s="839"/>
      <c r="D292" s="558">
        <f>G227</f>
        <v>3.42</v>
      </c>
      <c r="E292" s="559"/>
      <c r="F292" s="100">
        <f t="shared" si="1"/>
        <v>600</v>
      </c>
      <c r="G292" s="487">
        <f t="shared" si="2"/>
        <v>2052</v>
      </c>
      <c r="H292" s="487"/>
      <c r="I292" s="488"/>
    </row>
    <row r="293" spans="1:11" ht="16.5" customHeight="1">
      <c r="A293" s="782" t="s">
        <v>173</v>
      </c>
      <c r="B293" s="820"/>
      <c r="C293" s="820"/>
      <c r="D293" s="820"/>
      <c r="E293" s="821"/>
      <c r="F293" s="80">
        <f t="shared" si="1"/>
        <v>7000</v>
      </c>
      <c r="G293" s="394">
        <f>SUM(G287:G292)</f>
        <v>30284</v>
      </c>
      <c r="H293" s="395"/>
      <c r="I293" s="396"/>
    </row>
    <row r="294" spans="1:11" ht="6.75" customHeight="1">
      <c r="A294" s="571"/>
      <c r="B294" s="572"/>
      <c r="C294" s="572"/>
      <c r="D294" s="572"/>
      <c r="E294" s="572"/>
      <c r="F294" s="572"/>
      <c r="G294" s="572"/>
      <c r="H294" s="572"/>
      <c r="I294" s="573"/>
    </row>
    <row r="295" spans="1:11" ht="24" customHeight="1">
      <c r="A295" s="819" t="s">
        <v>174</v>
      </c>
      <c r="B295" s="819"/>
      <c r="C295" s="819"/>
      <c r="D295" s="780">
        <f>G232</f>
        <v>2.2799999999999998</v>
      </c>
      <c r="E295" s="781"/>
      <c r="F295" s="101">
        <f t="shared" ref="F295:F301" si="3">H22</f>
        <v>500</v>
      </c>
      <c r="G295" s="391">
        <f t="shared" ref="G295:G300" si="4">ROUND(D295*F295,2)</f>
        <v>1140</v>
      </c>
      <c r="H295" s="392"/>
      <c r="I295" s="393"/>
    </row>
    <row r="296" spans="1:11" ht="27.75" customHeight="1">
      <c r="A296" s="383" t="s">
        <v>93</v>
      </c>
      <c r="B296" s="383"/>
      <c r="C296" s="383"/>
      <c r="D296" s="442">
        <f>G236</f>
        <v>0.46</v>
      </c>
      <c r="E296" s="443"/>
      <c r="F296" s="102">
        <f t="shared" si="3"/>
        <v>1200</v>
      </c>
      <c r="G296" s="391">
        <f t="shared" si="4"/>
        <v>552</v>
      </c>
      <c r="H296" s="392"/>
      <c r="I296" s="393"/>
    </row>
    <row r="297" spans="1:11" ht="25.5" customHeight="1">
      <c r="A297" s="383" t="s">
        <v>94</v>
      </c>
      <c r="B297" s="383"/>
      <c r="C297" s="383"/>
      <c r="D297" s="442">
        <f>G240</f>
        <v>2.2799999999999998</v>
      </c>
      <c r="E297" s="443"/>
      <c r="F297" s="102">
        <f t="shared" si="3"/>
        <v>100</v>
      </c>
      <c r="G297" s="391">
        <f t="shared" si="4"/>
        <v>228</v>
      </c>
      <c r="H297" s="392"/>
      <c r="I297" s="393"/>
    </row>
    <row r="298" spans="1:11" ht="24" customHeight="1">
      <c r="A298" s="383" t="s">
        <v>95</v>
      </c>
      <c r="B298" s="383"/>
      <c r="C298" s="383"/>
      <c r="D298" s="442">
        <f>G244</f>
        <v>2.2799999999999998</v>
      </c>
      <c r="E298" s="443"/>
      <c r="F298" s="102">
        <f t="shared" si="3"/>
        <v>150</v>
      </c>
      <c r="G298" s="391">
        <f t="shared" si="4"/>
        <v>342</v>
      </c>
      <c r="H298" s="392"/>
      <c r="I298" s="393"/>
    </row>
    <row r="299" spans="1:11" ht="27" customHeight="1">
      <c r="A299" s="383" t="s">
        <v>96</v>
      </c>
      <c r="B299" s="383"/>
      <c r="C299" s="383"/>
      <c r="D299" s="442">
        <f>G248</f>
        <v>2.2799999999999998</v>
      </c>
      <c r="E299" s="443"/>
      <c r="F299" s="102">
        <f t="shared" si="3"/>
        <v>250</v>
      </c>
      <c r="G299" s="391">
        <f t="shared" si="4"/>
        <v>570</v>
      </c>
      <c r="H299" s="392"/>
      <c r="I299" s="393"/>
    </row>
    <row r="300" spans="1:11" ht="26.25" customHeight="1">
      <c r="A300" s="383" t="s">
        <v>97</v>
      </c>
      <c r="B300" s="383"/>
      <c r="C300" s="383"/>
      <c r="D300" s="442">
        <f>G252</f>
        <v>0.03</v>
      </c>
      <c r="E300" s="443"/>
      <c r="F300" s="102">
        <f t="shared" si="3"/>
        <v>800</v>
      </c>
      <c r="G300" s="391">
        <f t="shared" si="4"/>
        <v>24</v>
      </c>
      <c r="H300" s="392"/>
      <c r="I300" s="393"/>
      <c r="K300" s="1">
        <f>K296</f>
        <v>0</v>
      </c>
    </row>
    <row r="301" spans="1:11" ht="12.75" customHeight="1">
      <c r="A301" s="782" t="s">
        <v>180</v>
      </c>
      <c r="B301" s="820"/>
      <c r="C301" s="820"/>
      <c r="D301" s="820"/>
      <c r="E301" s="821"/>
      <c r="F301" s="82">
        <f t="shared" si="3"/>
        <v>3000</v>
      </c>
      <c r="G301" s="394">
        <f>SUM(G295:G300)</f>
        <v>2856</v>
      </c>
      <c r="H301" s="395"/>
      <c r="I301" s="396"/>
    </row>
    <row r="302" spans="1:11" ht="9" customHeight="1">
      <c r="A302" s="574"/>
      <c r="B302" s="575"/>
      <c r="C302" s="575"/>
      <c r="D302" s="575"/>
      <c r="E302" s="575"/>
      <c r="F302" s="575"/>
      <c r="G302" s="575"/>
      <c r="H302" s="575"/>
      <c r="I302" s="573"/>
    </row>
    <row r="303" spans="1:11" ht="25.5" customHeight="1">
      <c r="A303" s="803" t="s">
        <v>181</v>
      </c>
      <c r="B303" s="804"/>
      <c r="C303" s="805"/>
      <c r="D303" s="780">
        <f>H259</f>
        <v>2.08</v>
      </c>
      <c r="E303" s="781"/>
      <c r="F303" s="49">
        <f>H30</f>
        <v>100</v>
      </c>
      <c r="G303" s="391">
        <f>ROUND(D303*F303,2)</f>
        <v>208</v>
      </c>
      <c r="H303" s="392"/>
      <c r="I303" s="393"/>
    </row>
    <row r="304" spans="1:11" ht="24" customHeight="1">
      <c r="A304" s="440" t="s">
        <v>98</v>
      </c>
      <c r="B304" s="434"/>
      <c r="C304" s="441"/>
      <c r="D304" s="442">
        <f>H263</f>
        <v>1.04</v>
      </c>
      <c r="E304" s="443"/>
      <c r="F304" s="100">
        <f>H31</f>
        <v>250</v>
      </c>
      <c r="G304" s="391">
        <f>ROUND((D304*F304),2)</f>
        <v>260</v>
      </c>
      <c r="H304" s="392"/>
      <c r="I304" s="393"/>
    </row>
    <row r="305" spans="1:9" ht="14.1" customHeight="1">
      <c r="A305" s="440" t="s">
        <v>99</v>
      </c>
      <c r="B305" s="434"/>
      <c r="C305" s="441"/>
      <c r="D305" s="442">
        <f>H267</f>
        <v>1.04</v>
      </c>
      <c r="E305" s="443"/>
      <c r="F305" s="100">
        <f>H32</f>
        <v>350</v>
      </c>
      <c r="G305" s="391">
        <f>ROUND((D305*F305),2)</f>
        <v>364</v>
      </c>
      <c r="H305" s="392"/>
      <c r="I305" s="393"/>
    </row>
    <row r="306" spans="1:9" ht="12.75">
      <c r="A306" s="782" t="s">
        <v>210</v>
      </c>
      <c r="B306" s="820"/>
      <c r="C306" s="820"/>
      <c r="D306" s="824"/>
      <c r="E306" s="825"/>
      <c r="F306" s="80">
        <f>H33</f>
        <v>700</v>
      </c>
      <c r="G306" s="394">
        <f>SUM(G303:G305)</f>
        <v>832</v>
      </c>
      <c r="H306" s="395"/>
      <c r="I306" s="396"/>
    </row>
    <row r="307" spans="1:9" ht="8.25" customHeight="1">
      <c r="A307" s="574"/>
      <c r="B307" s="572"/>
      <c r="C307" s="572"/>
      <c r="D307" s="572"/>
      <c r="E307" s="572"/>
      <c r="F307" s="572"/>
      <c r="G307" s="572"/>
      <c r="H307" s="572"/>
      <c r="I307" s="573"/>
    </row>
    <row r="308" spans="1:9" ht="14.1" customHeight="1">
      <c r="A308" s="790" t="s">
        <v>214</v>
      </c>
      <c r="B308" s="791"/>
      <c r="C308" s="792"/>
      <c r="D308" s="786">
        <f>H273</f>
        <v>0.17</v>
      </c>
      <c r="E308" s="787"/>
      <c r="F308" s="50">
        <f>H36</f>
        <v>70</v>
      </c>
      <c r="G308" s="583">
        <f>ROUND((D308*F308),2)</f>
        <v>11.9</v>
      </c>
      <c r="H308" s="371"/>
      <c r="I308" s="393"/>
    </row>
    <row r="309" spans="1:9" ht="12.75">
      <c r="A309" s="782" t="s">
        <v>223</v>
      </c>
      <c r="B309" s="783"/>
      <c r="C309" s="783"/>
      <c r="D309" s="784"/>
      <c r="E309" s="785"/>
      <c r="F309" s="80">
        <f>F308</f>
        <v>70</v>
      </c>
      <c r="G309" s="394">
        <f>G308</f>
        <v>11.9</v>
      </c>
      <c r="H309" s="387"/>
      <c r="I309" s="396"/>
    </row>
    <row r="310" spans="1:9" ht="6.75" customHeight="1">
      <c r="A310" s="574"/>
      <c r="B310" s="817"/>
      <c r="C310" s="817"/>
      <c r="D310" s="572"/>
      <c r="E310" s="572"/>
      <c r="F310" s="572"/>
      <c r="G310" s="572"/>
      <c r="H310" s="572"/>
      <c r="I310" s="573"/>
    </row>
    <row r="311" spans="1:9" ht="14.1" customHeight="1">
      <c r="A311" s="833" t="s">
        <v>184</v>
      </c>
      <c r="B311" s="445"/>
      <c r="C311" s="834"/>
      <c r="D311" s="835"/>
      <c r="E311" s="836"/>
      <c r="F311" s="49">
        <v>0</v>
      </c>
      <c r="G311" s="391">
        <v>0</v>
      </c>
      <c r="H311" s="392"/>
      <c r="I311" s="393"/>
    </row>
    <row r="312" spans="1:9" ht="14.1" customHeight="1">
      <c r="A312" s="826" t="s">
        <v>211</v>
      </c>
      <c r="B312" s="827"/>
      <c r="C312" s="827"/>
      <c r="D312" s="828"/>
      <c r="E312" s="829"/>
      <c r="F312" s="22">
        <f>H37</f>
        <v>0</v>
      </c>
      <c r="G312" s="583">
        <f>H311</f>
        <v>0</v>
      </c>
      <c r="H312" s="577"/>
      <c r="I312" s="373"/>
    </row>
    <row r="313" spans="1:9" ht="7.5" customHeight="1">
      <c r="A313" s="837"/>
      <c r="B313" s="407"/>
      <c r="C313" s="407"/>
      <c r="D313" s="407"/>
      <c r="E313" s="407"/>
      <c r="F313" s="407"/>
      <c r="G313" s="407"/>
      <c r="H313" s="407"/>
      <c r="I313" s="408"/>
    </row>
    <row r="314" spans="1:9" ht="12.75">
      <c r="A314" s="809" t="s">
        <v>92</v>
      </c>
      <c r="B314" s="810"/>
      <c r="C314" s="810"/>
      <c r="D314" s="811"/>
      <c r="E314" s="812"/>
      <c r="F314" s="100">
        <f>H39</f>
        <v>0</v>
      </c>
      <c r="G314" s="391">
        <f>H314</f>
        <v>0</v>
      </c>
      <c r="H314" s="392"/>
      <c r="I314" s="818"/>
    </row>
    <row r="315" spans="1:9" ht="12.75">
      <c r="A315" s="813" t="s">
        <v>90</v>
      </c>
      <c r="B315" s="814"/>
      <c r="C315" s="814"/>
      <c r="D315" s="814"/>
      <c r="E315" s="814"/>
      <c r="F315" s="118">
        <v>0</v>
      </c>
      <c r="G315" s="577">
        <f>G314</f>
        <v>0</v>
      </c>
      <c r="H315" s="372"/>
      <c r="I315" s="373"/>
    </row>
    <row r="316" spans="1:9" ht="7.5" customHeight="1">
      <c r="A316" s="806"/>
      <c r="B316" s="807"/>
      <c r="C316" s="807"/>
      <c r="D316" s="808"/>
      <c r="E316" s="808"/>
      <c r="F316" s="808"/>
      <c r="G316" s="808"/>
      <c r="H316" s="808"/>
      <c r="I316" s="467"/>
    </row>
    <row r="317" spans="1:9" ht="12.75">
      <c r="A317" s="815" t="s">
        <v>134</v>
      </c>
      <c r="B317" s="815"/>
      <c r="C317" s="815"/>
      <c r="D317" s="815"/>
      <c r="E317" s="816"/>
      <c r="F317" s="50">
        <f>ROUND(F293+F301+F306+F309+F312 + F315,2)</f>
        <v>10770</v>
      </c>
      <c r="G317" s="583">
        <f>SUM(G293+G301+G306+G309+G312 + G315)</f>
        <v>33983.9</v>
      </c>
      <c r="H317" s="577"/>
      <c r="I317" s="373"/>
    </row>
    <row r="318" spans="1:9" ht="6.75" customHeight="1">
      <c r="A318" s="830"/>
      <c r="B318" s="831"/>
      <c r="C318" s="831"/>
      <c r="D318" s="831"/>
      <c r="E318" s="831"/>
      <c r="F318" s="831"/>
      <c r="G318" s="831"/>
      <c r="H318" s="831"/>
      <c r="I318" s="832"/>
    </row>
    <row r="319" spans="1:9" ht="18.75" customHeight="1">
      <c r="A319" s="450" t="s">
        <v>124</v>
      </c>
      <c r="B319" s="450"/>
      <c r="C319" s="450"/>
      <c r="D319" s="450"/>
      <c r="E319" s="450"/>
      <c r="F319" s="450"/>
      <c r="G319" s="451">
        <f>G317</f>
        <v>33983.9</v>
      </c>
      <c r="H319" s="452"/>
      <c r="I319" s="453"/>
    </row>
    <row r="320" spans="1:9" ht="8.25" customHeight="1">
      <c r="A320" s="822"/>
      <c r="B320" s="823"/>
      <c r="C320" s="823"/>
      <c r="D320" s="823"/>
      <c r="E320" s="823"/>
      <c r="F320" s="823"/>
      <c r="G320" s="823"/>
      <c r="H320" s="823"/>
      <c r="I320" s="823"/>
    </row>
    <row r="321" spans="1:9" ht="19.5" customHeight="1">
      <c r="A321" s="795" t="s">
        <v>314</v>
      </c>
      <c r="B321" s="796"/>
      <c r="C321" s="796"/>
      <c r="D321" s="796"/>
      <c r="E321" s="796"/>
      <c r="F321" s="797"/>
      <c r="G321" s="800">
        <f>H11</f>
        <v>12</v>
      </c>
      <c r="H321" s="801"/>
      <c r="I321" s="802"/>
    </row>
    <row r="322" spans="1:9" ht="8.25" customHeight="1">
      <c r="A322" s="798"/>
      <c r="B322" s="799"/>
      <c r="C322" s="799"/>
      <c r="D322" s="799"/>
      <c r="E322" s="799"/>
      <c r="F322" s="799"/>
      <c r="G322" s="799"/>
      <c r="H322" s="799"/>
      <c r="I322" s="799"/>
    </row>
    <row r="323" spans="1:9" ht="31.5" customHeight="1">
      <c r="A323" s="774" t="s">
        <v>315</v>
      </c>
      <c r="B323" s="775"/>
      <c r="C323" s="775"/>
      <c r="D323" s="775"/>
      <c r="E323" s="775"/>
      <c r="F323" s="776"/>
      <c r="G323" s="777">
        <f>ROUND(G317*G321,2)</f>
        <v>407806.8</v>
      </c>
      <c r="H323" s="778"/>
      <c r="I323" s="779"/>
    </row>
    <row r="324" spans="1:9" ht="8.25" customHeight="1">
      <c r="A324" s="788"/>
      <c r="B324" s="789"/>
      <c r="C324" s="789"/>
      <c r="D324" s="789"/>
      <c r="E324" s="789"/>
      <c r="F324" s="789"/>
      <c r="G324" s="789"/>
      <c r="H324" s="789"/>
      <c r="I324" s="340"/>
    </row>
    <row r="325" spans="1:9" ht="29.25" customHeight="1">
      <c r="A325" s="793" t="s">
        <v>320</v>
      </c>
      <c r="B325" s="794"/>
      <c r="C325" s="794"/>
      <c r="D325" s="794"/>
      <c r="E325" s="794"/>
      <c r="F325" s="794"/>
      <c r="G325" s="794"/>
      <c r="H325" s="794"/>
      <c r="I325" s="467"/>
    </row>
    <row r="326" spans="1:9">
      <c r="A326" s="766" t="s">
        <v>166</v>
      </c>
      <c r="B326" s="767"/>
      <c r="C326" s="767"/>
      <c r="D326" s="768"/>
      <c r="E326" s="768"/>
      <c r="F326" s="768"/>
      <c r="G326" s="769"/>
      <c r="H326" s="605" t="s">
        <v>158</v>
      </c>
      <c r="I326" s="606"/>
    </row>
    <row r="327" spans="1:9">
      <c r="A327" s="770"/>
      <c r="B327" s="771"/>
      <c r="C327" s="771"/>
      <c r="D327" s="772"/>
      <c r="E327" s="772"/>
      <c r="F327" s="772"/>
      <c r="G327" s="773"/>
      <c r="H327" s="607"/>
      <c r="I327" s="608"/>
    </row>
    <row r="328" spans="1:9" ht="12.75">
      <c r="A328" s="761" t="s">
        <v>154</v>
      </c>
      <c r="B328" s="762"/>
      <c r="C328" s="762"/>
      <c r="D328" s="466"/>
      <c r="E328" s="466"/>
      <c r="F328" s="466"/>
      <c r="G328" s="467"/>
      <c r="H328" s="764"/>
      <c r="I328" s="765"/>
    </row>
    <row r="329" spans="1:9" ht="12.75">
      <c r="A329" s="761" t="s">
        <v>155</v>
      </c>
      <c r="B329" s="762"/>
      <c r="C329" s="762"/>
      <c r="D329" s="466"/>
      <c r="E329" s="466"/>
      <c r="F329" s="466"/>
      <c r="G329" s="467"/>
      <c r="H329" s="764"/>
      <c r="I329" s="765"/>
    </row>
    <row r="330" spans="1:9" ht="12.75">
      <c r="A330" s="440"/>
      <c r="B330" s="434"/>
      <c r="C330" s="434"/>
      <c r="D330" s="466"/>
      <c r="E330" s="466"/>
      <c r="F330" s="466"/>
      <c r="G330" s="466"/>
      <c r="H330" s="466"/>
      <c r="I330" s="467"/>
    </row>
    <row r="331" spans="1:9" ht="9" customHeight="1">
      <c r="A331" s="760"/>
      <c r="B331" s="760"/>
      <c r="C331" s="760"/>
      <c r="D331" s="760"/>
      <c r="E331" s="760"/>
      <c r="F331" s="760"/>
      <c r="G331" s="760"/>
      <c r="H331" s="760"/>
      <c r="I331" s="474"/>
    </row>
    <row r="332" spans="1:9" hidden="1">
      <c r="A332" s="760"/>
      <c r="B332" s="760"/>
      <c r="C332" s="760"/>
      <c r="D332" s="760"/>
      <c r="E332" s="760"/>
      <c r="F332" s="760"/>
      <c r="G332" s="760"/>
      <c r="H332" s="760"/>
      <c r="I332" s="474"/>
    </row>
    <row r="333" spans="1:9" ht="27" customHeight="1">
      <c r="A333" s="759" t="s">
        <v>329</v>
      </c>
      <c r="B333" s="759"/>
      <c r="C333" s="759"/>
      <c r="D333" s="759"/>
      <c r="E333" s="759"/>
      <c r="F333" s="759"/>
      <c r="G333" s="759"/>
      <c r="H333" s="759"/>
      <c r="I333" s="474"/>
    </row>
    <row r="334" spans="1:9" ht="12.75">
      <c r="A334" s="400" t="s">
        <v>212</v>
      </c>
      <c r="B334" s="400"/>
      <c r="C334" s="400"/>
      <c r="D334" s="400"/>
      <c r="E334" s="400"/>
      <c r="F334" s="400"/>
      <c r="G334" s="400"/>
      <c r="H334" s="338" t="s">
        <v>160</v>
      </c>
      <c r="I334" s="399"/>
    </row>
    <row r="335" spans="1:9" ht="15">
      <c r="A335" s="763"/>
      <c r="B335" s="763"/>
      <c r="C335" s="763"/>
      <c r="D335" s="443"/>
      <c r="E335" s="443"/>
      <c r="F335" s="443"/>
      <c r="G335" s="443"/>
      <c r="H335" s="576"/>
      <c r="I335" s="399"/>
    </row>
    <row r="336" spans="1:9" ht="12.75">
      <c r="A336" s="438"/>
      <c r="B336" s="438"/>
      <c r="C336" s="438"/>
      <c r="D336" s="439"/>
      <c r="E336" s="439"/>
      <c r="F336" s="439"/>
      <c r="G336" s="439"/>
      <c r="H336" s="576"/>
      <c r="I336" s="399"/>
    </row>
    <row r="337" spans="1:9" ht="12.75">
      <c r="A337" s="561"/>
      <c r="B337" s="561"/>
      <c r="C337" s="561"/>
      <c r="D337" s="439"/>
      <c r="E337" s="439"/>
      <c r="F337" s="439"/>
      <c r="G337" s="439"/>
      <c r="H337" s="576"/>
      <c r="I337" s="399"/>
    </row>
    <row r="338" spans="1:9" ht="12.75">
      <c r="A338" s="30"/>
      <c r="B338" s="30"/>
      <c r="C338" s="30"/>
      <c r="D338" s="30"/>
      <c r="E338" s="30"/>
      <c r="F338" s="30"/>
      <c r="G338" s="30"/>
      <c r="H338" s="30"/>
      <c r="I338" s="43"/>
    </row>
    <row r="339" spans="1:9" ht="12.75">
      <c r="A339" s="23"/>
      <c r="B339" s="23"/>
      <c r="C339" s="23"/>
      <c r="D339" s="23"/>
      <c r="E339" s="23"/>
      <c r="F339" s="23"/>
      <c r="G339" s="23"/>
      <c r="H339" s="23"/>
      <c r="I339" s="44"/>
    </row>
    <row r="340" spans="1:9" ht="12.75">
      <c r="A340" s="23"/>
      <c r="B340" s="23"/>
      <c r="C340" s="23"/>
      <c r="D340" s="23"/>
      <c r="E340" s="23"/>
      <c r="F340" s="23"/>
      <c r="G340" s="23"/>
      <c r="H340" s="23"/>
      <c r="I340" s="44"/>
    </row>
    <row r="341" spans="1:9" ht="12.75">
      <c r="A341" s="23"/>
      <c r="B341" s="23"/>
      <c r="C341" s="23"/>
      <c r="D341" s="23"/>
      <c r="E341" s="23"/>
      <c r="F341" s="23"/>
      <c r="G341" s="23"/>
      <c r="H341" s="23"/>
      <c r="I341" s="44"/>
    </row>
    <row r="342" spans="1:9" ht="12.75">
      <c r="A342" s="23"/>
      <c r="B342" s="23"/>
      <c r="C342" s="23"/>
      <c r="D342" s="23"/>
      <c r="E342" s="23"/>
      <c r="F342" s="23"/>
      <c r="G342" s="23"/>
      <c r="H342" s="23"/>
      <c r="I342" s="44"/>
    </row>
    <row r="343" spans="1:9" ht="12.75">
      <c r="A343" s="23"/>
      <c r="B343" s="23"/>
      <c r="C343" s="23"/>
      <c r="D343" s="23"/>
      <c r="E343" s="23"/>
      <c r="F343" s="23"/>
      <c r="G343" s="23"/>
      <c r="H343" s="23"/>
      <c r="I343" s="44"/>
    </row>
    <row r="344" spans="1:9" ht="12.75">
      <c r="A344" s="23"/>
      <c r="B344" s="23"/>
      <c r="C344" s="23"/>
      <c r="D344" s="23"/>
      <c r="E344" s="23"/>
      <c r="F344" s="23"/>
      <c r="G344" s="23"/>
      <c r="H344" s="23"/>
      <c r="I344" s="44"/>
    </row>
    <row r="345" spans="1:9" ht="12.75">
      <c r="A345" s="550"/>
      <c r="B345" s="550"/>
      <c r="C345" s="550"/>
      <c r="D345" s="550"/>
      <c r="E345" s="550"/>
      <c r="F345" s="550"/>
      <c r="G345" s="550"/>
      <c r="H345" s="550"/>
      <c r="I345" s="39"/>
    </row>
    <row r="346" spans="1:9" ht="12.75">
      <c r="A346" s="584"/>
      <c r="B346" s="584"/>
      <c r="C346" s="584"/>
      <c r="D346" s="25"/>
      <c r="E346" s="578"/>
      <c r="F346" s="578"/>
      <c r="G346" s="578"/>
      <c r="H346" s="578"/>
      <c r="I346" s="42"/>
    </row>
    <row r="347" spans="1:9" ht="12.75">
      <c r="A347" s="584"/>
      <c r="B347" s="584"/>
      <c r="C347" s="584"/>
      <c r="D347" s="18"/>
      <c r="E347" s="578"/>
      <c r="F347" s="578"/>
      <c r="G347" s="578"/>
      <c r="H347" s="578"/>
      <c r="I347" s="42"/>
    </row>
    <row r="348" spans="1:9" ht="12.75">
      <c r="A348" s="584"/>
      <c r="B348" s="584"/>
      <c r="C348" s="584"/>
      <c r="D348" s="18"/>
      <c r="E348" s="578"/>
      <c r="F348" s="578"/>
      <c r="G348" s="578"/>
      <c r="H348" s="578"/>
      <c r="I348" s="42"/>
    </row>
    <row r="349" spans="1:9" ht="12.75">
      <c r="A349" s="584"/>
      <c r="B349" s="584"/>
      <c r="C349" s="584"/>
      <c r="D349" s="18"/>
      <c r="E349" s="578"/>
      <c r="F349" s="578"/>
      <c r="G349" s="578"/>
      <c r="H349" s="578"/>
      <c r="I349" s="42"/>
    </row>
    <row r="350" spans="1:9" ht="12.75">
      <c r="A350" s="584"/>
      <c r="B350" s="584"/>
      <c r="C350" s="584"/>
      <c r="D350" s="18"/>
      <c r="E350" s="578"/>
      <c r="F350" s="578"/>
      <c r="G350" s="578"/>
      <c r="H350" s="578"/>
      <c r="I350" s="42"/>
    </row>
    <row r="351" spans="1:9">
      <c r="A351" s="414"/>
      <c r="B351" s="414"/>
      <c r="C351" s="414"/>
      <c r="D351" s="414"/>
      <c r="E351" s="414"/>
      <c r="F351" s="414"/>
      <c r="G351" s="414"/>
      <c r="H351" s="414"/>
      <c r="I351" s="45"/>
    </row>
  </sheetData>
  <mergeCells count="628">
    <mergeCell ref="B121:H121"/>
    <mergeCell ref="B122:H122"/>
    <mergeCell ref="B123:H123"/>
    <mergeCell ref="B131:H131"/>
    <mergeCell ref="B124:H124"/>
    <mergeCell ref="B129:H129"/>
    <mergeCell ref="B132:H132"/>
    <mergeCell ref="G223:I223"/>
    <mergeCell ref="A195:I195"/>
    <mergeCell ref="A140:I140"/>
    <mergeCell ref="B145:H145"/>
    <mergeCell ref="B135:H135"/>
    <mergeCell ref="A216:I216"/>
    <mergeCell ref="A217:B217"/>
    <mergeCell ref="C218:D218"/>
    <mergeCell ref="A188:H188"/>
    <mergeCell ref="B125:H125"/>
    <mergeCell ref="A128:I128"/>
    <mergeCell ref="B134:H134"/>
    <mergeCell ref="B130:H130"/>
    <mergeCell ref="B126:H126"/>
    <mergeCell ref="G205:I205"/>
    <mergeCell ref="G206:I206"/>
    <mergeCell ref="C206:D206"/>
    <mergeCell ref="B136:H136"/>
    <mergeCell ref="B138:H138"/>
    <mergeCell ref="A139:H139"/>
    <mergeCell ref="A137:H137"/>
    <mergeCell ref="E222:F222"/>
    <mergeCell ref="G230:I230"/>
    <mergeCell ref="A232:B232"/>
    <mergeCell ref="C232:D232"/>
    <mergeCell ref="C236:D236"/>
    <mergeCell ref="E236:F236"/>
    <mergeCell ref="A230:B230"/>
    <mergeCell ref="E218:F218"/>
    <mergeCell ref="A224:I224"/>
    <mergeCell ref="A228:I228"/>
    <mergeCell ref="G226:I226"/>
    <mergeCell ref="A226:B226"/>
    <mergeCell ref="A225:B225"/>
    <mergeCell ref="G225:I225"/>
    <mergeCell ref="G219:I219"/>
    <mergeCell ref="A229:I229"/>
    <mergeCell ref="F187:G187"/>
    <mergeCell ref="C186:D186"/>
    <mergeCell ref="A204:B204"/>
    <mergeCell ref="E204:F204"/>
    <mergeCell ref="BE217:BL228"/>
    <mergeCell ref="BM217:BT228"/>
    <mergeCell ref="A336:G336"/>
    <mergeCell ref="G305:I305"/>
    <mergeCell ref="A305:C305"/>
    <mergeCell ref="D305:E305"/>
    <mergeCell ref="A304:C304"/>
    <mergeCell ref="D304:E304"/>
    <mergeCell ref="G306:I306"/>
    <mergeCell ref="AO217:AV228"/>
    <mergeCell ref="G303:I303"/>
    <mergeCell ref="G304:I304"/>
    <mergeCell ref="G317:I317"/>
    <mergeCell ref="G323:I323"/>
    <mergeCell ref="A320:I320"/>
    <mergeCell ref="A306:E306"/>
    <mergeCell ref="A303:C303"/>
    <mergeCell ref="D303:E303"/>
    <mergeCell ref="A309:E309"/>
    <mergeCell ref="D308:E308"/>
    <mergeCell ref="A324:I324"/>
    <mergeCell ref="A317:E317"/>
    <mergeCell ref="A323:F323"/>
    <mergeCell ref="A325:I325"/>
    <mergeCell ref="IO217:IV228"/>
    <mergeCell ref="CC217:CJ228"/>
    <mergeCell ref="BU217:CB228"/>
    <mergeCell ref="HY217:IF228"/>
    <mergeCell ref="IG217:IN228"/>
    <mergeCell ref="DQ217:DX228"/>
    <mergeCell ref="DY217:EF228"/>
    <mergeCell ref="DA217:DH228"/>
    <mergeCell ref="DI217:DP228"/>
    <mergeCell ref="HQ217:HX228"/>
    <mergeCell ref="CK217:CR228"/>
    <mergeCell ref="CS217:CZ228"/>
    <mergeCell ref="GC217:GJ228"/>
    <mergeCell ref="GK217:GR228"/>
    <mergeCell ref="FM217:FT228"/>
    <mergeCell ref="FU217:GB228"/>
    <mergeCell ref="EW217:FD228"/>
    <mergeCell ref="HI217:HP228"/>
    <mergeCell ref="FE217:FL228"/>
    <mergeCell ref="EG217:EN228"/>
    <mergeCell ref="EO217:EV228"/>
    <mergeCell ref="GS217:GZ228"/>
    <mergeCell ref="HA217:HH228"/>
    <mergeCell ref="AW217:BD228"/>
    <mergeCell ref="J217:P228"/>
    <mergeCell ref="Q217:X228"/>
    <mergeCell ref="Y217:AF228"/>
    <mergeCell ref="AG217:AN228"/>
    <mergeCell ref="A210:B210"/>
    <mergeCell ref="A215:F215"/>
    <mergeCell ref="C226:D226"/>
    <mergeCell ref="E226:F226"/>
    <mergeCell ref="E210:F210"/>
    <mergeCell ref="A212:I212"/>
    <mergeCell ref="C210:D210"/>
    <mergeCell ref="E214:F214"/>
    <mergeCell ref="E217:F217"/>
    <mergeCell ref="G218:I218"/>
    <mergeCell ref="E225:F225"/>
    <mergeCell ref="A222:B222"/>
    <mergeCell ref="C225:D225"/>
    <mergeCell ref="A2:I2"/>
    <mergeCell ref="A29:I29"/>
    <mergeCell ref="H30:I30"/>
    <mergeCell ref="A3:I3"/>
    <mergeCell ref="H27:I27"/>
    <mergeCell ref="H24:I24"/>
    <mergeCell ref="H25:I25"/>
    <mergeCell ref="H26:I26"/>
    <mergeCell ref="H28:I28"/>
    <mergeCell ref="H22:I22"/>
    <mergeCell ref="F25:G25"/>
    <mergeCell ref="A30:E30"/>
    <mergeCell ref="A14:E14"/>
    <mergeCell ref="F14:G14"/>
    <mergeCell ref="A15:E15"/>
    <mergeCell ref="H14:I14"/>
    <mergeCell ref="H13:I13"/>
    <mergeCell ref="F15:G15"/>
    <mergeCell ref="A16:E16"/>
    <mergeCell ref="A17:E17"/>
    <mergeCell ref="A18:E18"/>
    <mergeCell ref="A4:E4"/>
    <mergeCell ref="A5:E5"/>
    <mergeCell ref="A6:I6"/>
    <mergeCell ref="A33:G33"/>
    <mergeCell ref="H32:I32"/>
    <mergeCell ref="F24:G24"/>
    <mergeCell ref="A22:E22"/>
    <mergeCell ref="A36:G36"/>
    <mergeCell ref="A23:E23"/>
    <mergeCell ref="A24:E24"/>
    <mergeCell ref="A20:G20"/>
    <mergeCell ref="A21:I21"/>
    <mergeCell ref="A26:E26"/>
    <mergeCell ref="F26:G26"/>
    <mergeCell ref="A34:I34"/>
    <mergeCell ref="AG49:AN49"/>
    <mergeCell ref="J49:P49"/>
    <mergeCell ref="H50:I50"/>
    <mergeCell ref="B50:G50"/>
    <mergeCell ref="Q49:X49"/>
    <mergeCell ref="Y49:AF49"/>
    <mergeCell ref="A45:I45"/>
    <mergeCell ref="A48:I48"/>
    <mergeCell ref="A47:I47"/>
    <mergeCell ref="A49:I49"/>
    <mergeCell ref="A46:I46"/>
    <mergeCell ref="B180:H180"/>
    <mergeCell ref="A196:I196"/>
    <mergeCell ref="A197:I197"/>
    <mergeCell ref="C187:D187"/>
    <mergeCell ref="A184:B184"/>
    <mergeCell ref="F184:G184"/>
    <mergeCell ref="B175:H175"/>
    <mergeCell ref="B176:H176"/>
    <mergeCell ref="A179:H179"/>
    <mergeCell ref="A181:H181"/>
    <mergeCell ref="C185:D185"/>
    <mergeCell ref="A194:H194"/>
    <mergeCell ref="F186:G186"/>
    <mergeCell ref="A203:I203"/>
    <mergeCell ref="G204:I204"/>
    <mergeCell ref="A206:B206"/>
    <mergeCell ref="A205:B205"/>
    <mergeCell ref="C205:D205"/>
    <mergeCell ref="A274:G274"/>
    <mergeCell ref="C222:D222"/>
    <mergeCell ref="A235:B235"/>
    <mergeCell ref="A240:B240"/>
    <mergeCell ref="G233:I233"/>
    <mergeCell ref="A234:I234"/>
    <mergeCell ref="G235:I235"/>
    <mergeCell ref="C230:D230"/>
    <mergeCell ref="E230:F230"/>
    <mergeCell ref="C239:D239"/>
    <mergeCell ref="E205:F205"/>
    <mergeCell ref="G217:I217"/>
    <mergeCell ref="G207:I207"/>
    <mergeCell ref="A208:I208"/>
    <mergeCell ref="G214:I214"/>
    <mergeCell ref="G215:I215"/>
    <mergeCell ref="C231:D231"/>
    <mergeCell ref="A233:F233"/>
    <mergeCell ref="G232:I232"/>
    <mergeCell ref="G239:I239"/>
    <mergeCell ref="G308:I308"/>
    <mergeCell ref="A345:H345"/>
    <mergeCell ref="E280:F280"/>
    <mergeCell ref="G281:I281"/>
    <mergeCell ref="A282:I282"/>
    <mergeCell ref="A283:I283"/>
    <mergeCell ref="A287:C287"/>
    <mergeCell ref="D287:E287"/>
    <mergeCell ref="A286:C286"/>
    <mergeCell ref="A337:G337"/>
    <mergeCell ref="G309:I309"/>
    <mergeCell ref="A318:I318"/>
    <mergeCell ref="A321:F321"/>
    <mergeCell ref="A322:I322"/>
    <mergeCell ref="G321:I321"/>
    <mergeCell ref="A319:F319"/>
    <mergeCell ref="G319:I319"/>
    <mergeCell ref="A308:C308"/>
    <mergeCell ref="A316:I316"/>
    <mergeCell ref="A314:E314"/>
    <mergeCell ref="A289:C289"/>
    <mergeCell ref="A295:C295"/>
    <mergeCell ref="A296:C296"/>
    <mergeCell ref="D295:E295"/>
    <mergeCell ref="AW49:BD49"/>
    <mergeCell ref="A207:F207"/>
    <mergeCell ref="A221:B221"/>
    <mergeCell ref="C221:D221"/>
    <mergeCell ref="E221:F221"/>
    <mergeCell ref="A219:F219"/>
    <mergeCell ref="A220:I220"/>
    <mergeCell ref="G209:I209"/>
    <mergeCell ref="G210:I210"/>
    <mergeCell ref="G211:I211"/>
    <mergeCell ref="AO49:AV49"/>
    <mergeCell ref="B62:H62"/>
    <mergeCell ref="G213:I213"/>
    <mergeCell ref="A67:I67"/>
    <mergeCell ref="B73:G73"/>
    <mergeCell ref="B71:G71"/>
    <mergeCell ref="A191:H191"/>
    <mergeCell ref="B79:H79"/>
    <mergeCell ref="B68:H68"/>
    <mergeCell ref="B69:H69"/>
    <mergeCell ref="B72:H72"/>
    <mergeCell ref="E206:F206"/>
    <mergeCell ref="C204:D204"/>
    <mergeCell ref="A200:I200"/>
    <mergeCell ref="DQ49:DX49"/>
    <mergeCell ref="DY49:EF49"/>
    <mergeCell ref="CS49:CZ49"/>
    <mergeCell ref="DA49:DH49"/>
    <mergeCell ref="BE49:BL49"/>
    <mergeCell ref="BM49:BT49"/>
    <mergeCell ref="BU49:CB49"/>
    <mergeCell ref="DI49:DP49"/>
    <mergeCell ref="CC49:CJ49"/>
    <mergeCell ref="CK49:CR49"/>
    <mergeCell ref="B108:H108"/>
    <mergeCell ref="B109:H109"/>
    <mergeCell ref="A103:G103"/>
    <mergeCell ref="B52:G52"/>
    <mergeCell ref="B51:G51"/>
    <mergeCell ref="A55:I55"/>
    <mergeCell ref="A56:I56"/>
    <mergeCell ref="B58:G58"/>
    <mergeCell ref="A189:I189"/>
    <mergeCell ref="A190:I190"/>
    <mergeCell ref="A192:H192"/>
    <mergeCell ref="A193:H193"/>
    <mergeCell ref="A81:I81"/>
    <mergeCell ref="IO49:IV49"/>
    <mergeCell ref="GK49:GR49"/>
    <mergeCell ref="GS49:GZ49"/>
    <mergeCell ref="HA49:HH49"/>
    <mergeCell ref="HI49:HP49"/>
    <mergeCell ref="HQ49:HX49"/>
    <mergeCell ref="HY49:IF49"/>
    <mergeCell ref="EG49:EN49"/>
    <mergeCell ref="EO49:EV49"/>
    <mergeCell ref="EW49:FD49"/>
    <mergeCell ref="IG49:IN49"/>
    <mergeCell ref="FE49:FL49"/>
    <mergeCell ref="FM49:FT49"/>
    <mergeCell ref="FU49:GB49"/>
    <mergeCell ref="GC49:GJ49"/>
    <mergeCell ref="A351:H351"/>
    <mergeCell ref="A209:B209"/>
    <mergeCell ref="C209:D209"/>
    <mergeCell ref="E209:F209"/>
    <mergeCell ref="A211:F211"/>
    <mergeCell ref="A213:B213"/>
    <mergeCell ref="C213:D213"/>
    <mergeCell ref="E213:F213"/>
    <mergeCell ref="A214:B214"/>
    <mergeCell ref="C214:D214"/>
    <mergeCell ref="A244:B244"/>
    <mergeCell ref="C244:D244"/>
    <mergeCell ref="E244:F244"/>
    <mergeCell ref="A241:F241"/>
    <mergeCell ref="A243:B243"/>
    <mergeCell ref="G241:I241"/>
    <mergeCell ref="A242:I242"/>
    <mergeCell ref="A350:C350"/>
    <mergeCell ref="A346:C346"/>
    <mergeCell ref="A347:C347"/>
    <mergeCell ref="A348:C348"/>
    <mergeCell ref="A349:C349"/>
    <mergeCell ref="E346:H350"/>
    <mergeCell ref="A269:I269"/>
    <mergeCell ref="D272:E272"/>
    <mergeCell ref="D263:E263"/>
    <mergeCell ref="D266:E266"/>
    <mergeCell ref="A279:B279"/>
    <mergeCell ref="C279:D279"/>
    <mergeCell ref="D273:E273"/>
    <mergeCell ref="A275:I275"/>
    <mergeCell ref="E278:F278"/>
    <mergeCell ref="A265:I265"/>
    <mergeCell ref="A264:G264"/>
    <mergeCell ref="D267:E267"/>
    <mergeCell ref="H263:I263"/>
    <mergeCell ref="H264:I264"/>
    <mergeCell ref="G287:I287"/>
    <mergeCell ref="G288:I288"/>
    <mergeCell ref="A276:H277"/>
    <mergeCell ref="G278:I278"/>
    <mergeCell ref="A278:B278"/>
    <mergeCell ref="C278:D278"/>
    <mergeCell ref="A284:I285"/>
    <mergeCell ref="A281:F281"/>
    <mergeCell ref="E279:F279"/>
    <mergeCell ref="G280:I280"/>
    <mergeCell ref="A280:B280"/>
    <mergeCell ref="C280:D280"/>
    <mergeCell ref="A249:F249"/>
    <mergeCell ref="C252:D252"/>
    <mergeCell ref="E252:F252"/>
    <mergeCell ref="C251:D251"/>
    <mergeCell ref="G249:I249"/>
    <mergeCell ref="D257:E257"/>
    <mergeCell ref="H258:I258"/>
    <mergeCell ref="C235:D235"/>
    <mergeCell ref="E235:F235"/>
    <mergeCell ref="G245:I245"/>
    <mergeCell ref="A246:I246"/>
    <mergeCell ref="G244:I244"/>
    <mergeCell ref="G240:I240"/>
    <mergeCell ref="E240:F240"/>
    <mergeCell ref="E251:F251"/>
    <mergeCell ref="A250:I250"/>
    <mergeCell ref="A239:B239"/>
    <mergeCell ref="G243:I243"/>
    <mergeCell ref="A245:F245"/>
    <mergeCell ref="D258:E258"/>
    <mergeCell ref="G253:I253"/>
    <mergeCell ref="A237:F237"/>
    <mergeCell ref="G236:I236"/>
    <mergeCell ref="E239:F239"/>
    <mergeCell ref="H257:I257"/>
    <mergeCell ref="G252:I252"/>
    <mergeCell ref="A252:B252"/>
    <mergeCell ref="G251:I251"/>
    <mergeCell ref="A254:I254"/>
    <mergeCell ref="A255:I256"/>
    <mergeCell ref="A253:F253"/>
    <mergeCell ref="A251:B251"/>
    <mergeCell ref="A260:G260"/>
    <mergeCell ref="D259:E259"/>
    <mergeCell ref="H259:I259"/>
    <mergeCell ref="H260:I260"/>
    <mergeCell ref="C248:D248"/>
    <mergeCell ref="E248:F248"/>
    <mergeCell ref="G227:I227"/>
    <mergeCell ref="C217:D217"/>
    <mergeCell ref="A218:B218"/>
    <mergeCell ref="E232:F232"/>
    <mergeCell ref="A227:F227"/>
    <mergeCell ref="A231:B231"/>
    <mergeCell ref="A223:F223"/>
    <mergeCell ref="G221:I221"/>
    <mergeCell ref="G222:I222"/>
    <mergeCell ref="E231:F231"/>
    <mergeCell ref="G231:I231"/>
    <mergeCell ref="C243:D243"/>
    <mergeCell ref="E243:F243"/>
    <mergeCell ref="G237:I237"/>
    <mergeCell ref="C240:D240"/>
    <mergeCell ref="A247:B247"/>
    <mergeCell ref="C247:D247"/>
    <mergeCell ref="E247:F247"/>
    <mergeCell ref="G247:I247"/>
    <mergeCell ref="A238:I238"/>
    <mergeCell ref="A236:B236"/>
    <mergeCell ref="G248:I248"/>
    <mergeCell ref="F4:I4"/>
    <mergeCell ref="A185:B185"/>
    <mergeCell ref="F5:I5"/>
    <mergeCell ref="H23:I23"/>
    <mergeCell ref="H33:I33"/>
    <mergeCell ref="H15:I15"/>
    <mergeCell ref="B177:H177"/>
    <mergeCell ref="B178:H178"/>
    <mergeCell ref="H16:I16"/>
    <mergeCell ref="H17:I17"/>
    <mergeCell ref="H18:I18"/>
    <mergeCell ref="B77:H77"/>
    <mergeCell ref="B64:H64"/>
    <mergeCell ref="A19:E19"/>
    <mergeCell ref="F17:G17"/>
    <mergeCell ref="F16:G16"/>
    <mergeCell ref="B59:H59"/>
    <mergeCell ref="B65:H65"/>
    <mergeCell ref="B63:H63"/>
    <mergeCell ref="A12:I12"/>
    <mergeCell ref="A13:E13"/>
    <mergeCell ref="F13:G13"/>
    <mergeCell ref="B74:H74"/>
    <mergeCell ref="B75:H75"/>
    <mergeCell ref="A82:I82"/>
    <mergeCell ref="B76:H76"/>
    <mergeCell ref="A90:I90"/>
    <mergeCell ref="A105:I105"/>
    <mergeCell ref="A106:I106"/>
    <mergeCell ref="B60:G60"/>
    <mergeCell ref="B61:G61"/>
    <mergeCell ref="H52:I52"/>
    <mergeCell ref="A54:I54"/>
    <mergeCell ref="H53:I53"/>
    <mergeCell ref="B53:G53"/>
    <mergeCell ref="A57:I57"/>
    <mergeCell ref="B86:H86"/>
    <mergeCell ref="B85:H85"/>
    <mergeCell ref="B102:G102"/>
    <mergeCell ref="B101:C101"/>
    <mergeCell ref="B87:H87"/>
    <mergeCell ref="B88:H88"/>
    <mergeCell ref="A66:H66"/>
    <mergeCell ref="H44:I44"/>
    <mergeCell ref="B98:G98"/>
    <mergeCell ref="D262:E262"/>
    <mergeCell ref="H262:I262"/>
    <mergeCell ref="A186:B186"/>
    <mergeCell ref="A187:B187"/>
    <mergeCell ref="A27:E27"/>
    <mergeCell ref="F27:G27"/>
    <mergeCell ref="A31:E31"/>
    <mergeCell ref="F31:G31"/>
    <mergeCell ref="A261:I261"/>
    <mergeCell ref="A80:I80"/>
    <mergeCell ref="A83:I83"/>
    <mergeCell ref="B84:H84"/>
    <mergeCell ref="C184:D184"/>
    <mergeCell ref="A182:I182"/>
    <mergeCell ref="B95:G95"/>
    <mergeCell ref="A93:I93"/>
    <mergeCell ref="A89:H89"/>
    <mergeCell ref="B100:G100"/>
    <mergeCell ref="F38:G38"/>
    <mergeCell ref="B70:G70"/>
    <mergeCell ref="H51:I51"/>
    <mergeCell ref="A107:I107"/>
    <mergeCell ref="A41:E41"/>
    <mergeCell ref="A37:I37"/>
    <mergeCell ref="F30:G30"/>
    <mergeCell ref="F41:G41"/>
    <mergeCell ref="H41:I41"/>
    <mergeCell ref="A43:I43"/>
    <mergeCell ref="H39:I39"/>
    <mergeCell ref="H31:I31"/>
    <mergeCell ref="F18:G18"/>
    <mergeCell ref="F19:G19"/>
    <mergeCell ref="A38:E38"/>
    <mergeCell ref="H38:I38"/>
    <mergeCell ref="A35:E35"/>
    <mergeCell ref="F35:G35"/>
    <mergeCell ref="A32:E32"/>
    <mergeCell ref="A25:E25"/>
    <mergeCell ref="A28:G28"/>
    <mergeCell ref="H36:I36"/>
    <mergeCell ref="H19:I19"/>
    <mergeCell ref="H20:I20"/>
    <mergeCell ref="H35:I35"/>
    <mergeCell ref="F22:G22"/>
    <mergeCell ref="F23:G23"/>
    <mergeCell ref="F32:G32"/>
    <mergeCell ref="A7:I7"/>
    <mergeCell ref="B8:G8"/>
    <mergeCell ref="B147:H147"/>
    <mergeCell ref="A110:H110"/>
    <mergeCell ref="A112:H112"/>
    <mergeCell ref="A118:H118"/>
    <mergeCell ref="B116:H116"/>
    <mergeCell ref="A114:I114"/>
    <mergeCell ref="B142:H142"/>
    <mergeCell ref="B111:H111"/>
    <mergeCell ref="A113:I113"/>
    <mergeCell ref="B133:H133"/>
    <mergeCell ref="A127:H127"/>
    <mergeCell ref="B144:H144"/>
    <mergeCell ref="B115:H115"/>
    <mergeCell ref="B117:H117"/>
    <mergeCell ref="A119:I119"/>
    <mergeCell ref="B120:H120"/>
    <mergeCell ref="B94:G94"/>
    <mergeCell ref="H42:I42"/>
    <mergeCell ref="A42:G42"/>
    <mergeCell ref="B78:H78"/>
    <mergeCell ref="A91:I91"/>
    <mergeCell ref="B99:G99"/>
    <mergeCell ref="H8:I8"/>
    <mergeCell ref="B11:G11"/>
    <mergeCell ref="H11:I11"/>
    <mergeCell ref="B10:G10"/>
    <mergeCell ref="H10:I10"/>
    <mergeCell ref="B9:G9"/>
    <mergeCell ref="H9:I9"/>
    <mergeCell ref="A171:I171"/>
    <mergeCell ref="A148:H148"/>
    <mergeCell ref="B157:G157"/>
    <mergeCell ref="B154:G154"/>
    <mergeCell ref="C167:I167"/>
    <mergeCell ref="A166:G166"/>
    <mergeCell ref="A167:B169"/>
    <mergeCell ref="C168:I168"/>
    <mergeCell ref="C169:I169"/>
    <mergeCell ref="B161:G161"/>
    <mergeCell ref="A164:H164"/>
    <mergeCell ref="B141:H141"/>
    <mergeCell ref="B143:H143"/>
    <mergeCell ref="B96:G96"/>
    <mergeCell ref="B97:G97"/>
    <mergeCell ref="A44:G44"/>
    <mergeCell ref="A39:G39"/>
    <mergeCell ref="H337:I337"/>
    <mergeCell ref="A330:I330"/>
    <mergeCell ref="A335:G335"/>
    <mergeCell ref="G296:I296"/>
    <mergeCell ref="G297:I297"/>
    <mergeCell ref="A326:G327"/>
    <mergeCell ref="G299:I299"/>
    <mergeCell ref="G300:I300"/>
    <mergeCell ref="G301:I301"/>
    <mergeCell ref="A307:I307"/>
    <mergeCell ref="A334:G334"/>
    <mergeCell ref="A331:I332"/>
    <mergeCell ref="A328:G328"/>
    <mergeCell ref="A329:G329"/>
    <mergeCell ref="A297:C297"/>
    <mergeCell ref="A302:I302"/>
    <mergeCell ref="A298:C298"/>
    <mergeCell ref="D298:E298"/>
    <mergeCell ref="A299:C299"/>
    <mergeCell ref="D299:E299"/>
    <mergeCell ref="G298:I298"/>
    <mergeCell ref="A310:I310"/>
    <mergeCell ref="G311:I311"/>
    <mergeCell ref="G314:I314"/>
    <mergeCell ref="H336:I336"/>
    <mergeCell ref="G289:I289"/>
    <mergeCell ref="G290:I290"/>
    <mergeCell ref="G295:I295"/>
    <mergeCell ref="A294:I294"/>
    <mergeCell ref="D296:E296"/>
    <mergeCell ref="A333:I333"/>
    <mergeCell ref="H334:I334"/>
    <mergeCell ref="G312:I312"/>
    <mergeCell ref="D297:E297"/>
    <mergeCell ref="H335:I335"/>
    <mergeCell ref="H326:I327"/>
    <mergeCell ref="H328:I328"/>
    <mergeCell ref="H329:I329"/>
    <mergeCell ref="G291:I291"/>
    <mergeCell ref="G292:I292"/>
    <mergeCell ref="A291:C291"/>
    <mergeCell ref="D291:E291"/>
    <mergeCell ref="A293:E293"/>
    <mergeCell ref="A311:C311"/>
    <mergeCell ref="D311:E311"/>
    <mergeCell ref="A313:I313"/>
    <mergeCell ref="A315:E315"/>
    <mergeCell ref="G315:I315"/>
    <mergeCell ref="A312:E312"/>
    <mergeCell ref="A301:E301"/>
    <mergeCell ref="A300:C300"/>
    <mergeCell ref="H274:I274"/>
    <mergeCell ref="G286:I286"/>
    <mergeCell ref="H267:I267"/>
    <mergeCell ref="H268:I268"/>
    <mergeCell ref="H271:I271"/>
    <mergeCell ref="A270:I270"/>
    <mergeCell ref="H273:I273"/>
    <mergeCell ref="G279:I279"/>
    <mergeCell ref="G293:I293"/>
    <mergeCell ref="H272:I272"/>
    <mergeCell ref="A268:G268"/>
    <mergeCell ref="D271:E271"/>
    <mergeCell ref="D300:E300"/>
    <mergeCell ref="D286:E286"/>
    <mergeCell ref="A290:C290"/>
    <mergeCell ref="D290:E290"/>
    <mergeCell ref="A292:C292"/>
    <mergeCell ref="D292:E292"/>
    <mergeCell ref="D289:E289"/>
    <mergeCell ref="A288:C288"/>
    <mergeCell ref="D288:E288"/>
    <mergeCell ref="A248:B248"/>
    <mergeCell ref="B158:G158"/>
    <mergeCell ref="B159:G159"/>
    <mergeCell ref="B156:G156"/>
    <mergeCell ref="B162:G162"/>
    <mergeCell ref="H266:I266"/>
    <mergeCell ref="B146:H146"/>
    <mergeCell ref="A172:I172"/>
    <mergeCell ref="A149:I149"/>
    <mergeCell ref="B150:G150"/>
    <mergeCell ref="B152:G152"/>
    <mergeCell ref="A151:G151"/>
    <mergeCell ref="A153:G153"/>
    <mergeCell ref="B163:G163"/>
    <mergeCell ref="A155:G155"/>
    <mergeCell ref="A165:I165"/>
    <mergeCell ref="A170:I170"/>
    <mergeCell ref="B160:G160"/>
    <mergeCell ref="A199:I199"/>
    <mergeCell ref="A202:I202"/>
    <mergeCell ref="A174:H174"/>
    <mergeCell ref="A173:I173"/>
    <mergeCell ref="A183:I183"/>
    <mergeCell ref="F185:G185"/>
  </mergeCells>
  <phoneticPr fontId="0" type="noConversion"/>
  <pageMargins left="0.78740157480314965" right="0.31496062992125984" top="0.43307086614173229" bottom="0.31496062992125984" header="3.937007874015748E-2" footer="3.937007874015748E-2"/>
  <pageSetup paperSize="9" scale="76" orientation="portrait" horizontalDpi="1200" r:id="rId1"/>
  <headerFooter alignWithMargins="0"/>
  <rowBreaks count="7" manualBreakCount="7">
    <brk id="56" max="8" man="1"/>
    <brk id="105" max="8" man="1"/>
    <brk id="148" max="8" man="1"/>
    <brk id="198" max="8" man="1"/>
    <brk id="249" max="8" man="1"/>
    <brk id="283" max="8" man="1"/>
    <brk id="338" max="7" man="1"/>
  </rowBreaks>
  <legacyDrawing r:id="rId2"/>
</worksheet>
</file>

<file path=xl/worksheets/sheet3.xml><?xml version="1.0" encoding="utf-8"?>
<worksheet xmlns="http://schemas.openxmlformats.org/spreadsheetml/2006/main" xmlns:r="http://schemas.openxmlformats.org/officeDocument/2006/relationships">
  <dimension ref="A2:IV350"/>
  <sheetViews>
    <sheetView view="pageBreakPreview" topLeftCell="A71" zoomScale="120" zoomScaleNormal="100" zoomScaleSheetLayoutView="120" workbookViewId="0">
      <selection activeCell="D286" sqref="D286:E286"/>
    </sheetView>
  </sheetViews>
  <sheetFormatPr defaultRowHeight="12"/>
  <cols>
    <col min="1" max="1" width="15.28515625" style="1" customWidth="1"/>
    <col min="2" max="2" width="11.140625" style="1" customWidth="1"/>
    <col min="3" max="3" width="13.28515625" style="1" customWidth="1"/>
    <col min="4" max="4" width="10.140625" style="1" customWidth="1"/>
    <col min="5" max="5" width="12.42578125" style="1" bestFit="1" customWidth="1"/>
    <col min="6" max="6" width="11.28515625" style="1" bestFit="1" customWidth="1"/>
    <col min="7" max="7" width="9.85546875" style="1" customWidth="1"/>
    <col min="8" max="8" width="12.42578125" style="1" customWidth="1"/>
    <col min="9" max="9" width="14.5703125" style="46" customWidth="1"/>
    <col min="10" max="10" width="10.7109375" style="1" customWidth="1"/>
    <col min="11" max="11" width="11.140625" style="1" customWidth="1"/>
    <col min="12" max="12" width="7.42578125" style="1" customWidth="1"/>
    <col min="13" max="13" width="6.5703125" style="1" customWidth="1"/>
    <col min="14" max="15" width="9.28515625" style="1" bestFit="1" customWidth="1"/>
    <col min="16" max="16384" width="9.140625" style="1"/>
  </cols>
  <sheetData>
    <row r="2" spans="1:9" ht="23.25">
      <c r="A2" s="483" t="s">
        <v>76</v>
      </c>
      <c r="B2" s="483"/>
      <c r="C2" s="483"/>
      <c r="D2" s="483"/>
      <c r="E2" s="483"/>
      <c r="F2" s="483"/>
      <c r="G2" s="483"/>
      <c r="H2" s="483"/>
      <c r="I2" s="484"/>
    </row>
    <row r="3" spans="1:9" ht="48.75" customHeight="1">
      <c r="A3" s="489" t="s">
        <v>35</v>
      </c>
      <c r="B3" s="489"/>
      <c r="C3" s="489"/>
      <c r="D3" s="489"/>
      <c r="E3" s="489"/>
      <c r="F3" s="489"/>
      <c r="G3" s="489"/>
      <c r="H3" s="489"/>
      <c r="I3" s="490"/>
    </row>
    <row r="4" spans="1:9" ht="15.75" customHeight="1">
      <c r="A4" s="532" t="s">
        <v>296</v>
      </c>
      <c r="B4" s="533"/>
      <c r="C4" s="533"/>
      <c r="D4" s="533"/>
      <c r="E4" s="629"/>
      <c r="F4" s="614" t="s">
        <v>39</v>
      </c>
      <c r="G4" s="615"/>
      <c r="H4" s="615"/>
      <c r="I4" s="616"/>
    </row>
    <row r="5" spans="1:9" ht="15.75" customHeight="1">
      <c r="A5" s="532" t="s">
        <v>297</v>
      </c>
      <c r="B5" s="533"/>
      <c r="C5" s="533"/>
      <c r="D5" s="533"/>
      <c r="E5" s="629"/>
      <c r="F5" s="614" t="s">
        <v>41</v>
      </c>
      <c r="G5" s="615"/>
      <c r="H5" s="615"/>
      <c r="I5" s="616"/>
    </row>
    <row r="6" spans="1:9" ht="21.75" customHeight="1">
      <c r="A6" s="507" t="s">
        <v>40</v>
      </c>
      <c r="B6" s="714"/>
      <c r="C6" s="714"/>
      <c r="D6" s="714"/>
      <c r="E6" s="714"/>
      <c r="F6" s="714"/>
      <c r="G6" s="714"/>
      <c r="H6" s="714"/>
      <c r="I6" s="714"/>
    </row>
    <row r="7" spans="1:9" ht="20.25" customHeight="1">
      <c r="A7" s="528" t="s">
        <v>258</v>
      </c>
      <c r="B7" s="715"/>
      <c r="C7" s="715"/>
      <c r="D7" s="715"/>
      <c r="E7" s="715"/>
      <c r="F7" s="715"/>
      <c r="G7" s="715"/>
      <c r="H7" s="715"/>
      <c r="I7" s="636"/>
    </row>
    <row r="8" spans="1:9" ht="15.75" customHeight="1">
      <c r="A8" s="84" t="s">
        <v>259</v>
      </c>
      <c r="B8" s="507" t="s">
        <v>260</v>
      </c>
      <c r="C8" s="714"/>
      <c r="D8" s="714"/>
      <c r="E8" s="714"/>
      <c r="F8" s="714"/>
      <c r="G8" s="714"/>
      <c r="H8" s="716">
        <v>42368</v>
      </c>
      <c r="I8" s="616"/>
    </row>
    <row r="9" spans="1:9" ht="15.75" customHeight="1">
      <c r="A9" s="84" t="s">
        <v>261</v>
      </c>
      <c r="B9" s="507" t="s">
        <v>262</v>
      </c>
      <c r="C9" s="714"/>
      <c r="D9" s="714"/>
      <c r="E9" s="714"/>
      <c r="F9" s="714"/>
      <c r="G9" s="714"/>
      <c r="H9" s="719" t="s">
        <v>228</v>
      </c>
      <c r="I9" s="719"/>
    </row>
    <row r="10" spans="1:9" ht="37.5" customHeight="1">
      <c r="A10" s="84" t="s">
        <v>263</v>
      </c>
      <c r="B10" s="532" t="s">
        <v>352</v>
      </c>
      <c r="C10" s="653"/>
      <c r="D10" s="653"/>
      <c r="E10" s="653"/>
      <c r="F10" s="653"/>
      <c r="G10" s="654"/>
      <c r="H10" s="614" t="s">
        <v>42</v>
      </c>
      <c r="I10" s="616"/>
    </row>
    <row r="11" spans="1:9" ht="15.75" customHeight="1">
      <c r="A11" s="84" t="s">
        <v>264</v>
      </c>
      <c r="B11" s="532" t="s">
        <v>265</v>
      </c>
      <c r="C11" s="653"/>
      <c r="D11" s="653"/>
      <c r="E11" s="653"/>
      <c r="F11" s="653"/>
      <c r="G11" s="654"/>
      <c r="H11" s="614">
        <v>12</v>
      </c>
      <c r="I11" s="616"/>
    </row>
    <row r="12" spans="1:9" ht="27.75" customHeight="1">
      <c r="A12" s="850" t="s">
        <v>266</v>
      </c>
      <c r="B12" s="851"/>
      <c r="C12" s="851"/>
      <c r="D12" s="851"/>
      <c r="E12" s="851"/>
      <c r="F12" s="851"/>
      <c r="G12" s="851"/>
      <c r="H12" s="851"/>
      <c r="I12" s="852"/>
    </row>
    <row r="13" spans="1:9" ht="43.5" customHeight="1">
      <c r="A13" s="338" t="s">
        <v>331</v>
      </c>
      <c r="B13" s="503"/>
      <c r="C13" s="503"/>
      <c r="D13" s="503"/>
      <c r="E13" s="503"/>
      <c r="F13" s="338" t="s">
        <v>353</v>
      </c>
      <c r="G13" s="447"/>
      <c r="H13" s="717" t="s">
        <v>267</v>
      </c>
      <c r="I13" s="718"/>
    </row>
    <row r="14" spans="1:9" ht="12.75" customHeight="1">
      <c r="A14" s="428" t="s">
        <v>167</v>
      </c>
      <c r="B14" s="512"/>
      <c r="C14" s="512"/>
      <c r="D14" s="512"/>
      <c r="E14" s="512"/>
      <c r="F14" s="496" t="s">
        <v>268</v>
      </c>
      <c r="G14" s="496"/>
      <c r="H14" s="495">
        <v>2000</v>
      </c>
      <c r="I14" s="393"/>
    </row>
    <row r="15" spans="1:9" ht="12.75" customHeight="1">
      <c r="A15" s="428" t="s">
        <v>168</v>
      </c>
      <c r="B15" s="512"/>
      <c r="C15" s="512"/>
      <c r="D15" s="512"/>
      <c r="E15" s="512"/>
      <c r="F15" s="496" t="s">
        <v>268</v>
      </c>
      <c r="G15" s="496"/>
      <c r="H15" s="495">
        <v>4000</v>
      </c>
      <c r="I15" s="393"/>
    </row>
    <row r="16" spans="1:9" ht="12.75" customHeight="1">
      <c r="A16" s="360" t="s">
        <v>169</v>
      </c>
      <c r="B16" s="497"/>
      <c r="C16" s="497"/>
      <c r="D16" s="497"/>
      <c r="E16" s="498"/>
      <c r="F16" s="493" t="s">
        <v>268</v>
      </c>
      <c r="G16" s="494"/>
      <c r="H16" s="495">
        <v>0</v>
      </c>
      <c r="I16" s="393"/>
    </row>
    <row r="17" spans="1:15" ht="12.75" customHeight="1">
      <c r="A17" s="360" t="s">
        <v>170</v>
      </c>
      <c r="B17" s="497"/>
      <c r="C17" s="497"/>
      <c r="D17" s="497"/>
      <c r="E17" s="498"/>
      <c r="F17" s="493" t="s">
        <v>268</v>
      </c>
      <c r="G17" s="494"/>
      <c r="H17" s="495">
        <v>400</v>
      </c>
      <c r="I17" s="393"/>
    </row>
    <row r="18" spans="1:15" ht="12.75" customHeight="1">
      <c r="A18" s="360" t="s">
        <v>171</v>
      </c>
      <c r="B18" s="497"/>
      <c r="C18" s="497"/>
      <c r="D18" s="497"/>
      <c r="E18" s="498"/>
      <c r="F18" s="493" t="s">
        <v>268</v>
      </c>
      <c r="G18" s="494"/>
      <c r="H18" s="495">
        <v>0</v>
      </c>
      <c r="I18" s="393"/>
    </row>
    <row r="19" spans="1:15" ht="12.75" customHeight="1">
      <c r="A19" s="360" t="s">
        <v>172</v>
      </c>
      <c r="B19" s="497"/>
      <c r="C19" s="497"/>
      <c r="D19" s="497"/>
      <c r="E19" s="498"/>
      <c r="F19" s="493" t="s">
        <v>268</v>
      </c>
      <c r="G19" s="494"/>
      <c r="H19" s="495">
        <v>600</v>
      </c>
      <c r="I19" s="393"/>
    </row>
    <row r="20" spans="1:15" ht="12.75" customHeight="1">
      <c r="A20" s="499" t="s">
        <v>173</v>
      </c>
      <c r="B20" s="386"/>
      <c r="C20" s="386"/>
      <c r="D20" s="386"/>
      <c r="E20" s="386"/>
      <c r="F20" s="386"/>
      <c r="G20" s="500"/>
      <c r="H20" s="394">
        <f>ROUND(H14+H15+H16+H17+H18+H19,2)</f>
        <v>7000</v>
      </c>
      <c r="I20" s="500"/>
    </row>
    <row r="21" spans="1:15" ht="8.25" customHeight="1">
      <c r="A21" s="374"/>
      <c r="B21" s="485"/>
      <c r="C21" s="485"/>
      <c r="D21" s="485"/>
      <c r="E21" s="485"/>
      <c r="F21" s="485"/>
      <c r="G21" s="485"/>
      <c r="H21" s="485"/>
      <c r="I21" s="486"/>
    </row>
    <row r="22" spans="1:15" ht="23.25" customHeight="1">
      <c r="A22" s="428" t="s">
        <v>174</v>
      </c>
      <c r="B22" s="512"/>
      <c r="C22" s="512"/>
      <c r="D22" s="512"/>
      <c r="E22" s="512"/>
      <c r="F22" s="496" t="s">
        <v>268</v>
      </c>
      <c r="G22" s="496"/>
      <c r="H22" s="487">
        <v>500</v>
      </c>
      <c r="I22" s="488"/>
    </row>
    <row r="23" spans="1:15" ht="12.75" customHeight="1">
      <c r="A23" s="428" t="s">
        <v>175</v>
      </c>
      <c r="B23" s="513"/>
      <c r="C23" s="513"/>
      <c r="D23" s="513"/>
      <c r="E23" s="513"/>
      <c r="F23" s="508" t="s">
        <v>268</v>
      </c>
      <c r="G23" s="508"/>
      <c r="H23" s="487">
        <v>1200</v>
      </c>
      <c r="I23" s="488"/>
    </row>
    <row r="24" spans="1:15" ht="12.75" customHeight="1">
      <c r="A24" s="428" t="s">
        <v>176</v>
      </c>
      <c r="B24" s="513"/>
      <c r="C24" s="513"/>
      <c r="D24" s="513"/>
      <c r="E24" s="513"/>
      <c r="F24" s="496" t="s">
        <v>268</v>
      </c>
      <c r="G24" s="496"/>
      <c r="H24" s="487">
        <v>100</v>
      </c>
      <c r="I24" s="488"/>
    </row>
    <row r="25" spans="1:15" ht="15.75" customHeight="1">
      <c r="A25" s="428" t="s">
        <v>177</v>
      </c>
      <c r="B25" s="513"/>
      <c r="C25" s="513"/>
      <c r="D25" s="513"/>
      <c r="E25" s="513"/>
      <c r="F25" s="508" t="s">
        <v>268</v>
      </c>
      <c r="G25" s="508"/>
      <c r="H25" s="487">
        <v>150</v>
      </c>
      <c r="I25" s="488"/>
    </row>
    <row r="26" spans="1:15" ht="14.25" customHeight="1">
      <c r="A26" s="428" t="s">
        <v>178</v>
      </c>
      <c r="B26" s="513"/>
      <c r="C26" s="513"/>
      <c r="D26" s="513"/>
      <c r="E26" s="513"/>
      <c r="F26" s="508" t="s">
        <v>268</v>
      </c>
      <c r="G26" s="508"/>
      <c r="H26" s="487">
        <v>250</v>
      </c>
      <c r="I26" s="488"/>
      <c r="J26" s="2" t="s">
        <v>141</v>
      </c>
      <c r="K26" s="2" t="s">
        <v>140</v>
      </c>
      <c r="L26" s="2" t="s">
        <v>143</v>
      </c>
      <c r="M26" s="2" t="s">
        <v>142</v>
      </c>
      <c r="N26" s="1" t="s">
        <v>157</v>
      </c>
      <c r="O26" s="1" t="s">
        <v>156</v>
      </c>
    </row>
    <row r="27" spans="1:15" ht="26.25" customHeight="1">
      <c r="A27" s="428" t="s">
        <v>179</v>
      </c>
      <c r="B27" s="513"/>
      <c r="C27" s="513"/>
      <c r="D27" s="513"/>
      <c r="E27" s="513"/>
      <c r="F27" s="496" t="s">
        <v>268</v>
      </c>
      <c r="G27" s="496"/>
      <c r="H27" s="487">
        <v>800</v>
      </c>
      <c r="I27" s="488"/>
      <c r="J27" s="12">
        <f>H59</f>
        <v>0</v>
      </c>
      <c r="K27" s="1">
        <v>220</v>
      </c>
      <c r="L27" s="1">
        <f>ROUND(J27/K27,2)</f>
        <v>0</v>
      </c>
      <c r="M27" s="1">
        <f>8*15*0</f>
        <v>0</v>
      </c>
      <c r="N27" s="12">
        <v>0</v>
      </c>
      <c r="O27" s="11">
        <v>0.5</v>
      </c>
    </row>
    <row r="28" spans="1:15" ht="15" customHeight="1">
      <c r="A28" s="515" t="s">
        <v>180</v>
      </c>
      <c r="B28" s="516"/>
      <c r="C28" s="516"/>
      <c r="D28" s="516"/>
      <c r="E28" s="516"/>
      <c r="F28" s="516"/>
      <c r="G28" s="516"/>
      <c r="H28" s="491">
        <f>ROUND(H22+H23+H24+H25+H26+H27,2)</f>
        <v>3000</v>
      </c>
      <c r="I28" s="492"/>
      <c r="J28" s="12"/>
      <c r="N28" s="12"/>
      <c r="O28" s="11"/>
    </row>
    <row r="29" spans="1:15" ht="7.5" customHeight="1">
      <c r="A29" s="374"/>
      <c r="B29" s="485"/>
      <c r="C29" s="485"/>
      <c r="D29" s="485"/>
      <c r="E29" s="485"/>
      <c r="F29" s="485"/>
      <c r="G29" s="485"/>
      <c r="H29" s="485"/>
      <c r="I29" s="486"/>
      <c r="J29" s="1" t="s">
        <v>138</v>
      </c>
      <c r="K29" s="1" t="s">
        <v>139</v>
      </c>
      <c r="N29" s="12"/>
      <c r="O29" s="11"/>
    </row>
    <row r="30" spans="1:15" ht="27" customHeight="1">
      <c r="A30" s="428" t="s">
        <v>181</v>
      </c>
      <c r="B30" s="512"/>
      <c r="C30" s="512"/>
      <c r="D30" s="512"/>
      <c r="E30" s="512"/>
      <c r="F30" s="496" t="s">
        <v>268</v>
      </c>
      <c r="G30" s="496"/>
      <c r="H30" s="487">
        <v>100</v>
      </c>
      <c r="I30" s="488"/>
      <c r="J30" s="11">
        <v>0</v>
      </c>
      <c r="K30" s="11">
        <v>0</v>
      </c>
    </row>
    <row r="31" spans="1:15" ht="25.5" customHeight="1">
      <c r="A31" s="428" t="s">
        <v>182</v>
      </c>
      <c r="B31" s="512"/>
      <c r="C31" s="512"/>
      <c r="D31" s="512"/>
      <c r="E31" s="512"/>
      <c r="F31" s="496" t="s">
        <v>268</v>
      </c>
      <c r="G31" s="496"/>
      <c r="H31" s="487">
        <v>250</v>
      </c>
      <c r="I31" s="488"/>
      <c r="J31" s="11">
        <v>0.1</v>
      </c>
      <c r="K31" s="11">
        <v>0.3</v>
      </c>
    </row>
    <row r="32" spans="1:15" ht="12.75">
      <c r="A32" s="360" t="s">
        <v>183</v>
      </c>
      <c r="B32" s="497"/>
      <c r="C32" s="497"/>
      <c r="D32" s="497"/>
      <c r="E32" s="498"/>
      <c r="F32" s="493" t="s">
        <v>268</v>
      </c>
      <c r="G32" s="494"/>
      <c r="H32" s="487">
        <v>350</v>
      </c>
      <c r="I32" s="488"/>
    </row>
    <row r="33" spans="1:12" ht="12.75">
      <c r="A33" s="509" t="s">
        <v>216</v>
      </c>
      <c r="B33" s="510"/>
      <c r="C33" s="510"/>
      <c r="D33" s="510"/>
      <c r="E33" s="510"/>
      <c r="F33" s="510"/>
      <c r="G33" s="511"/>
      <c r="H33" s="491">
        <f>ROUND(H30+H31+H32,2)</f>
        <v>700</v>
      </c>
      <c r="I33" s="492"/>
    </row>
    <row r="34" spans="1:12" ht="7.5" customHeight="1">
      <c r="A34" s="676"/>
      <c r="B34" s="485"/>
      <c r="C34" s="485"/>
      <c r="D34" s="485"/>
      <c r="E34" s="485"/>
      <c r="F34" s="485"/>
      <c r="G34" s="485"/>
      <c r="H34" s="485"/>
      <c r="I34" s="486"/>
    </row>
    <row r="35" spans="1:12" ht="12.75">
      <c r="A35" s="514" t="s">
        <v>214</v>
      </c>
      <c r="B35" s="514"/>
      <c r="C35" s="514"/>
      <c r="D35" s="514"/>
      <c r="E35" s="514"/>
      <c r="F35" s="493" t="s">
        <v>268</v>
      </c>
      <c r="G35" s="494"/>
      <c r="H35" s="391">
        <v>70</v>
      </c>
      <c r="I35" s="393"/>
    </row>
    <row r="36" spans="1:12" ht="12.75" customHeight="1">
      <c r="A36" s="681" t="s">
        <v>215</v>
      </c>
      <c r="B36" s="682"/>
      <c r="C36" s="682"/>
      <c r="D36" s="682"/>
      <c r="E36" s="682"/>
      <c r="F36" s="682"/>
      <c r="G36" s="683"/>
      <c r="H36" s="394">
        <f>H35</f>
        <v>70</v>
      </c>
      <c r="I36" s="500"/>
    </row>
    <row r="37" spans="1:12" ht="7.5" customHeight="1">
      <c r="A37" s="688"/>
      <c r="B37" s="689"/>
      <c r="C37" s="689"/>
      <c r="D37" s="689"/>
      <c r="E37" s="689"/>
      <c r="F37" s="689"/>
      <c r="G37" s="689"/>
      <c r="H37" s="689"/>
      <c r="I37" s="690"/>
    </row>
    <row r="38" spans="1:12" s="4" customFormat="1" ht="12.75">
      <c r="A38" s="514" t="s">
        <v>184</v>
      </c>
      <c r="B38" s="514"/>
      <c r="C38" s="514"/>
      <c r="D38" s="514"/>
      <c r="E38" s="514"/>
      <c r="F38" s="508" t="s">
        <v>268</v>
      </c>
      <c r="G38" s="508"/>
      <c r="H38" s="686">
        <v>0</v>
      </c>
      <c r="I38" s="687"/>
      <c r="J38" s="13" t="s">
        <v>144</v>
      </c>
      <c r="K38" s="1" t="s">
        <v>145</v>
      </c>
      <c r="L38" s="1" t="s">
        <v>146</v>
      </c>
    </row>
    <row r="39" spans="1:12" ht="12.75">
      <c r="A39" s="665" t="s">
        <v>91</v>
      </c>
      <c r="B39" s="510"/>
      <c r="C39" s="510"/>
      <c r="D39" s="510"/>
      <c r="E39" s="510"/>
      <c r="F39" s="510"/>
      <c r="G39" s="511"/>
      <c r="H39" s="684">
        <v>0</v>
      </c>
      <c r="I39" s="685"/>
      <c r="J39" s="1">
        <v>2.2999999999999998</v>
      </c>
      <c r="K39" s="14">
        <v>22</v>
      </c>
      <c r="L39" s="15">
        <v>5.5</v>
      </c>
    </row>
    <row r="40" spans="1:12" ht="8.25" customHeight="1">
      <c r="A40" s="122"/>
      <c r="B40" s="119"/>
      <c r="C40" s="119"/>
      <c r="D40" s="119"/>
      <c r="E40" s="119"/>
      <c r="F40" s="119"/>
      <c r="G40" s="119"/>
      <c r="H40" s="120"/>
      <c r="I40" s="121"/>
      <c r="K40" s="14"/>
      <c r="L40" s="15"/>
    </row>
    <row r="41" spans="1:12" ht="15.75" customHeight="1">
      <c r="A41" s="666" t="s">
        <v>92</v>
      </c>
      <c r="B41" s="667"/>
      <c r="C41" s="667"/>
      <c r="D41" s="667"/>
      <c r="E41" s="667"/>
      <c r="F41" s="508" t="s">
        <v>268</v>
      </c>
      <c r="G41" s="508"/>
      <c r="H41" s="679">
        <v>0</v>
      </c>
      <c r="I41" s="680"/>
      <c r="K41" s="14"/>
      <c r="L41" s="15"/>
    </row>
    <row r="42" spans="1:12" ht="15" customHeight="1">
      <c r="A42" s="509" t="s">
        <v>90</v>
      </c>
      <c r="B42" s="721"/>
      <c r="C42" s="721"/>
      <c r="D42" s="721"/>
      <c r="E42" s="721"/>
      <c r="F42" s="721"/>
      <c r="G42" s="722"/>
      <c r="H42" s="720">
        <v>0</v>
      </c>
      <c r="I42" s="396"/>
      <c r="K42" s="14"/>
      <c r="L42" s="15"/>
    </row>
    <row r="43" spans="1:12" ht="7.5" customHeight="1">
      <c r="A43" s="676"/>
      <c r="B43" s="485"/>
      <c r="C43" s="485"/>
      <c r="D43" s="485"/>
      <c r="E43" s="485"/>
      <c r="F43" s="485"/>
      <c r="G43" s="485"/>
      <c r="H43" s="485"/>
      <c r="I43" s="486"/>
    </row>
    <row r="44" spans="1:12" ht="12.75" customHeight="1">
      <c r="A44" s="662" t="s">
        <v>269</v>
      </c>
      <c r="B44" s="663"/>
      <c r="C44" s="663"/>
      <c r="D44" s="663"/>
      <c r="E44" s="663"/>
      <c r="F44" s="663"/>
      <c r="G44" s="664"/>
      <c r="H44" s="677">
        <f>ROUND(H20+H28+H33+H36+H39,2)</f>
        <v>10770</v>
      </c>
      <c r="I44" s="678"/>
    </row>
    <row r="45" spans="1:12" ht="7.5" customHeight="1">
      <c r="A45" s="670"/>
      <c r="B45" s="671"/>
      <c r="C45" s="671"/>
      <c r="D45" s="671"/>
      <c r="E45" s="671"/>
      <c r="F45" s="671"/>
      <c r="G45" s="671"/>
      <c r="H45" s="671"/>
      <c r="I45" s="671"/>
      <c r="J45" s="5"/>
      <c r="K45" s="6"/>
      <c r="L45" s="7"/>
    </row>
    <row r="46" spans="1:12" ht="57" customHeight="1">
      <c r="A46" s="673" t="s">
        <v>401</v>
      </c>
      <c r="B46" s="674"/>
      <c r="C46" s="674"/>
      <c r="D46" s="674"/>
      <c r="E46" s="674"/>
      <c r="F46" s="674"/>
      <c r="G46" s="674"/>
      <c r="H46" s="674"/>
      <c r="I46" s="675"/>
      <c r="J46" s="5"/>
      <c r="K46" s="6"/>
      <c r="L46" s="7"/>
    </row>
    <row r="47" spans="1:12" ht="7.5" customHeight="1">
      <c r="A47" s="670"/>
      <c r="B47" s="474"/>
      <c r="C47" s="474"/>
      <c r="D47" s="474"/>
      <c r="E47" s="474"/>
      <c r="F47" s="474"/>
      <c r="G47" s="474"/>
      <c r="H47" s="474"/>
      <c r="I47" s="474"/>
      <c r="J47" s="5"/>
      <c r="K47" s="6"/>
      <c r="L47" s="7"/>
    </row>
    <row r="48" spans="1:12" ht="53.25" customHeight="1">
      <c r="A48" s="539" t="s">
        <v>428</v>
      </c>
      <c r="B48" s="672"/>
      <c r="C48" s="672"/>
      <c r="D48" s="672"/>
      <c r="E48" s="672"/>
      <c r="F48" s="672"/>
      <c r="G48" s="672"/>
      <c r="H48" s="672"/>
      <c r="I48" s="390"/>
      <c r="J48" s="5"/>
      <c r="K48" s="6"/>
      <c r="L48" s="7"/>
    </row>
    <row r="49" spans="1:256" ht="21.75" customHeight="1">
      <c r="A49" s="528" t="s">
        <v>161</v>
      </c>
      <c r="B49" s="529"/>
      <c r="C49" s="529"/>
      <c r="D49" s="529"/>
      <c r="E49" s="529"/>
      <c r="F49" s="529"/>
      <c r="G49" s="529"/>
      <c r="H49" s="529"/>
      <c r="I49" s="636"/>
      <c r="J49" s="504"/>
      <c r="K49" s="504"/>
      <c r="L49" s="504"/>
      <c r="M49" s="504"/>
      <c r="N49" s="504"/>
      <c r="O49" s="504"/>
      <c r="P49" s="504"/>
      <c r="Q49" s="504"/>
      <c r="R49" s="504"/>
      <c r="S49" s="504"/>
      <c r="T49" s="504"/>
      <c r="U49" s="504"/>
      <c r="V49" s="504"/>
      <c r="W49" s="504"/>
      <c r="X49" s="504"/>
      <c r="Y49" s="504"/>
      <c r="Z49" s="504"/>
      <c r="AA49" s="504"/>
      <c r="AB49" s="504"/>
      <c r="AC49" s="504"/>
      <c r="AD49" s="504"/>
      <c r="AE49" s="504"/>
      <c r="AF49" s="504"/>
      <c r="AG49" s="504"/>
      <c r="AH49" s="504"/>
      <c r="AI49" s="504"/>
      <c r="AJ49" s="504"/>
      <c r="AK49" s="504"/>
      <c r="AL49" s="504"/>
      <c r="AM49" s="504"/>
      <c r="AN49" s="504"/>
      <c r="AO49" s="504"/>
      <c r="AP49" s="504"/>
      <c r="AQ49" s="504"/>
      <c r="AR49" s="504"/>
      <c r="AS49" s="504"/>
      <c r="AT49" s="504"/>
      <c r="AU49" s="504"/>
      <c r="AV49" s="504"/>
      <c r="AW49" s="504"/>
      <c r="AX49" s="504"/>
      <c r="AY49" s="504"/>
      <c r="AZ49" s="504"/>
      <c r="BA49" s="504"/>
      <c r="BB49" s="504"/>
      <c r="BC49" s="504"/>
      <c r="BD49" s="504"/>
      <c r="BE49" s="504"/>
      <c r="BF49" s="504"/>
      <c r="BG49" s="504"/>
      <c r="BH49" s="504"/>
      <c r="BI49" s="504"/>
      <c r="BJ49" s="504"/>
      <c r="BK49" s="504"/>
      <c r="BL49" s="504"/>
      <c r="BM49" s="504"/>
      <c r="BN49" s="504"/>
      <c r="BO49" s="504"/>
      <c r="BP49" s="504"/>
      <c r="BQ49" s="504"/>
      <c r="BR49" s="504"/>
      <c r="BS49" s="504"/>
      <c r="BT49" s="504"/>
      <c r="BU49" s="504"/>
      <c r="BV49" s="504"/>
      <c r="BW49" s="504"/>
      <c r="BX49" s="504"/>
      <c r="BY49" s="504"/>
      <c r="BZ49" s="504"/>
      <c r="CA49" s="504"/>
      <c r="CB49" s="504"/>
      <c r="CC49" s="504"/>
      <c r="CD49" s="504"/>
      <c r="CE49" s="504"/>
      <c r="CF49" s="504"/>
      <c r="CG49" s="504"/>
      <c r="CH49" s="504"/>
      <c r="CI49" s="504"/>
      <c r="CJ49" s="504"/>
      <c r="CK49" s="504"/>
      <c r="CL49" s="504"/>
      <c r="CM49" s="504"/>
      <c r="CN49" s="504"/>
      <c r="CO49" s="504"/>
      <c r="CP49" s="504"/>
      <c r="CQ49" s="504"/>
      <c r="CR49" s="504"/>
      <c r="CS49" s="504"/>
      <c r="CT49" s="504"/>
      <c r="CU49" s="504"/>
      <c r="CV49" s="504"/>
      <c r="CW49" s="504"/>
      <c r="CX49" s="504"/>
      <c r="CY49" s="504"/>
      <c r="CZ49" s="504"/>
      <c r="DA49" s="504"/>
      <c r="DB49" s="504"/>
      <c r="DC49" s="504"/>
      <c r="DD49" s="504"/>
      <c r="DE49" s="504"/>
      <c r="DF49" s="504"/>
      <c r="DG49" s="504"/>
      <c r="DH49" s="504"/>
      <c r="DI49" s="504"/>
      <c r="DJ49" s="504"/>
      <c r="DK49" s="504"/>
      <c r="DL49" s="504"/>
      <c r="DM49" s="504"/>
      <c r="DN49" s="504"/>
      <c r="DO49" s="504"/>
      <c r="DP49" s="504"/>
      <c r="DQ49" s="504"/>
      <c r="DR49" s="504"/>
      <c r="DS49" s="504"/>
      <c r="DT49" s="504"/>
      <c r="DU49" s="504"/>
      <c r="DV49" s="504"/>
      <c r="DW49" s="504"/>
      <c r="DX49" s="504"/>
      <c r="DY49" s="504"/>
      <c r="DZ49" s="504"/>
      <c r="EA49" s="504"/>
      <c r="EB49" s="504"/>
      <c r="EC49" s="504"/>
      <c r="ED49" s="504"/>
      <c r="EE49" s="504"/>
      <c r="EF49" s="504"/>
      <c r="EG49" s="504"/>
      <c r="EH49" s="504"/>
      <c r="EI49" s="504"/>
      <c r="EJ49" s="504"/>
      <c r="EK49" s="504"/>
      <c r="EL49" s="504"/>
      <c r="EM49" s="504"/>
      <c r="EN49" s="504"/>
      <c r="EO49" s="504"/>
      <c r="EP49" s="504"/>
      <c r="EQ49" s="504"/>
      <c r="ER49" s="504"/>
      <c r="ES49" s="504"/>
      <c r="ET49" s="504"/>
      <c r="EU49" s="504"/>
      <c r="EV49" s="504"/>
      <c r="EW49" s="504"/>
      <c r="EX49" s="504"/>
      <c r="EY49" s="504"/>
      <c r="EZ49" s="504"/>
      <c r="FA49" s="504"/>
      <c r="FB49" s="504"/>
      <c r="FC49" s="504"/>
      <c r="FD49" s="504"/>
      <c r="FE49" s="504"/>
      <c r="FF49" s="504"/>
      <c r="FG49" s="504"/>
      <c r="FH49" s="504"/>
      <c r="FI49" s="504"/>
      <c r="FJ49" s="504"/>
      <c r="FK49" s="504"/>
      <c r="FL49" s="504"/>
      <c r="FM49" s="504"/>
      <c r="FN49" s="504"/>
      <c r="FO49" s="504"/>
      <c r="FP49" s="504"/>
      <c r="FQ49" s="504"/>
      <c r="FR49" s="504"/>
      <c r="FS49" s="504"/>
      <c r="FT49" s="504"/>
      <c r="FU49" s="504"/>
      <c r="FV49" s="504"/>
      <c r="FW49" s="504"/>
      <c r="FX49" s="504"/>
      <c r="FY49" s="504"/>
      <c r="FZ49" s="504"/>
      <c r="GA49" s="504"/>
      <c r="GB49" s="504"/>
      <c r="GC49" s="504"/>
      <c r="GD49" s="504"/>
      <c r="GE49" s="504"/>
      <c r="GF49" s="504"/>
      <c r="GG49" s="504"/>
      <c r="GH49" s="504"/>
      <c r="GI49" s="504"/>
      <c r="GJ49" s="504"/>
      <c r="GK49" s="504"/>
      <c r="GL49" s="504"/>
      <c r="GM49" s="504"/>
      <c r="GN49" s="504"/>
      <c r="GO49" s="504"/>
      <c r="GP49" s="504"/>
      <c r="GQ49" s="504"/>
      <c r="GR49" s="504"/>
      <c r="GS49" s="504"/>
      <c r="GT49" s="504"/>
      <c r="GU49" s="504"/>
      <c r="GV49" s="504"/>
      <c r="GW49" s="504"/>
      <c r="GX49" s="504"/>
      <c r="GY49" s="504"/>
      <c r="GZ49" s="504"/>
      <c r="HA49" s="504"/>
      <c r="HB49" s="504"/>
      <c r="HC49" s="504"/>
      <c r="HD49" s="504"/>
      <c r="HE49" s="504"/>
      <c r="HF49" s="504"/>
      <c r="HG49" s="504"/>
      <c r="HH49" s="504"/>
      <c r="HI49" s="504"/>
      <c r="HJ49" s="504"/>
      <c r="HK49" s="504"/>
      <c r="HL49" s="504"/>
      <c r="HM49" s="504"/>
      <c r="HN49" s="504"/>
      <c r="HO49" s="504"/>
      <c r="HP49" s="504"/>
      <c r="HQ49" s="504"/>
      <c r="HR49" s="504"/>
      <c r="HS49" s="504"/>
      <c r="HT49" s="504"/>
      <c r="HU49" s="504"/>
      <c r="HV49" s="504"/>
      <c r="HW49" s="504"/>
      <c r="HX49" s="504"/>
      <c r="HY49" s="504"/>
      <c r="HZ49" s="504"/>
      <c r="IA49" s="504"/>
      <c r="IB49" s="504"/>
      <c r="IC49" s="504"/>
      <c r="ID49" s="504"/>
      <c r="IE49" s="504"/>
      <c r="IF49" s="504"/>
      <c r="IG49" s="504"/>
      <c r="IH49" s="504"/>
      <c r="II49" s="504"/>
      <c r="IJ49" s="504"/>
      <c r="IK49" s="504"/>
      <c r="IL49" s="504"/>
      <c r="IM49" s="504"/>
      <c r="IN49" s="504"/>
      <c r="IO49" s="504"/>
      <c r="IP49" s="504"/>
      <c r="IQ49" s="504"/>
      <c r="IR49" s="504"/>
      <c r="IS49" s="504"/>
      <c r="IT49" s="504"/>
      <c r="IU49" s="504"/>
      <c r="IV49" s="504"/>
    </row>
    <row r="50" spans="1:256" ht="15.75" customHeight="1">
      <c r="A50" s="84">
        <v>1</v>
      </c>
      <c r="B50" s="507" t="s">
        <v>270</v>
      </c>
      <c r="C50" s="507"/>
      <c r="D50" s="507"/>
      <c r="E50" s="507"/>
      <c r="F50" s="507"/>
      <c r="G50" s="507"/>
      <c r="H50" s="505" t="s">
        <v>271</v>
      </c>
      <c r="I50" s="506"/>
    </row>
    <row r="51" spans="1:256" ht="15.75" customHeight="1">
      <c r="A51" s="84">
        <v>2</v>
      </c>
      <c r="B51" s="507" t="s">
        <v>413</v>
      </c>
      <c r="C51" s="507"/>
      <c r="D51" s="507"/>
      <c r="E51" s="507"/>
      <c r="F51" s="507"/>
      <c r="G51" s="507"/>
      <c r="H51" s="505">
        <v>829.4</v>
      </c>
      <c r="I51" s="669"/>
    </row>
    <row r="52" spans="1:256" ht="15.75" customHeight="1">
      <c r="A52" s="84">
        <v>3</v>
      </c>
      <c r="B52" s="507" t="s">
        <v>341</v>
      </c>
      <c r="C52" s="507"/>
      <c r="D52" s="507"/>
      <c r="E52" s="507"/>
      <c r="F52" s="507"/>
      <c r="G52" s="507"/>
      <c r="H52" s="621" t="s">
        <v>340</v>
      </c>
      <c r="I52" s="622"/>
    </row>
    <row r="53" spans="1:256" ht="15.75" customHeight="1">
      <c r="A53" s="84">
        <v>4</v>
      </c>
      <c r="B53" s="507" t="s">
        <v>125</v>
      </c>
      <c r="C53" s="507"/>
      <c r="D53" s="507"/>
      <c r="E53" s="507"/>
      <c r="F53" s="507"/>
      <c r="G53" s="507"/>
      <c r="H53" s="621" t="s">
        <v>43</v>
      </c>
      <c r="I53" s="622"/>
    </row>
    <row r="54" spans="1:256" ht="9" customHeight="1">
      <c r="A54" s="619"/>
      <c r="B54" s="620"/>
      <c r="C54" s="620"/>
      <c r="D54" s="620"/>
      <c r="E54" s="620"/>
      <c r="F54" s="620"/>
      <c r="G54" s="620"/>
      <c r="H54" s="620"/>
      <c r="I54" s="620"/>
    </row>
    <row r="55" spans="1:256" ht="14.25" customHeight="1">
      <c r="A55" s="666" t="s">
        <v>338</v>
      </c>
      <c r="B55" s="667"/>
      <c r="C55" s="667"/>
      <c r="D55" s="667"/>
      <c r="E55" s="667"/>
      <c r="F55" s="667"/>
      <c r="G55" s="667"/>
      <c r="H55" s="667"/>
      <c r="I55" s="710"/>
    </row>
    <row r="56" spans="1:256" ht="9" customHeight="1">
      <c r="A56" s="711"/>
      <c r="B56" s="712"/>
      <c r="C56" s="712"/>
      <c r="D56" s="712"/>
      <c r="E56" s="712"/>
      <c r="F56" s="712"/>
      <c r="G56" s="712"/>
      <c r="H56" s="712"/>
      <c r="I56" s="713"/>
    </row>
    <row r="57" spans="1:256" ht="36" customHeight="1">
      <c r="A57" s="618" t="s">
        <v>298</v>
      </c>
      <c r="B57" s="431"/>
      <c r="C57" s="431"/>
      <c r="D57" s="431"/>
      <c r="E57" s="431"/>
      <c r="F57" s="431"/>
      <c r="G57" s="431"/>
      <c r="H57" s="431"/>
      <c r="I57" s="340"/>
    </row>
    <row r="58" spans="1:256" s="8" customFormat="1" ht="29.25" customHeight="1">
      <c r="A58" s="60">
        <v>1</v>
      </c>
      <c r="B58" s="528" t="s">
        <v>355</v>
      </c>
      <c r="C58" s="529"/>
      <c r="D58" s="529"/>
      <c r="E58" s="529"/>
      <c r="F58" s="529"/>
      <c r="G58" s="626"/>
      <c r="H58" s="60" t="s">
        <v>385</v>
      </c>
      <c r="I58" s="60" t="s">
        <v>386</v>
      </c>
    </row>
    <row r="59" spans="1:256" ht="27.75" customHeight="1">
      <c r="A59" s="84" t="s">
        <v>259</v>
      </c>
      <c r="B59" s="532" t="s">
        <v>411</v>
      </c>
      <c r="C59" s="533"/>
      <c r="D59" s="533"/>
      <c r="E59" s="533"/>
      <c r="F59" s="533"/>
      <c r="G59" s="533"/>
      <c r="H59" s="624"/>
      <c r="I59" s="87">
        <f>ROUND(((40/6)*30)*(ROUND(H51/220,2)),2)</f>
        <v>754</v>
      </c>
    </row>
    <row r="60" spans="1:256" ht="15.75" customHeight="1">
      <c r="A60" s="84" t="s">
        <v>261</v>
      </c>
      <c r="B60" s="668" t="s">
        <v>435</v>
      </c>
      <c r="C60" s="534"/>
      <c r="D60" s="534"/>
      <c r="E60" s="534"/>
      <c r="F60" s="534"/>
      <c r="G60" s="623"/>
      <c r="H60" s="85"/>
      <c r="I60" s="87"/>
    </row>
    <row r="61" spans="1:256" ht="15.75" customHeight="1">
      <c r="A61" s="84" t="s">
        <v>263</v>
      </c>
      <c r="B61" s="645" t="s">
        <v>44</v>
      </c>
      <c r="C61" s="534"/>
      <c r="D61" s="534"/>
      <c r="E61" s="534"/>
      <c r="F61" s="534"/>
      <c r="G61" s="623"/>
      <c r="H61" s="86">
        <v>0.2</v>
      </c>
      <c r="I61" s="87">
        <f>ROUND(H61*I59,2)</f>
        <v>150.80000000000001</v>
      </c>
    </row>
    <row r="62" spans="1:256" ht="15.75" customHeight="1">
      <c r="A62" s="84" t="s">
        <v>264</v>
      </c>
      <c r="B62" s="532" t="s">
        <v>433</v>
      </c>
      <c r="C62" s="625"/>
      <c r="D62" s="625"/>
      <c r="E62" s="625"/>
      <c r="F62" s="625"/>
      <c r="G62" s="625"/>
      <c r="H62" s="624"/>
      <c r="I62" s="87"/>
    </row>
    <row r="63" spans="1:256" ht="15.75" customHeight="1">
      <c r="A63" s="84" t="s">
        <v>272</v>
      </c>
      <c r="B63" s="532" t="s">
        <v>439</v>
      </c>
      <c r="C63" s="625"/>
      <c r="D63" s="625"/>
      <c r="E63" s="625"/>
      <c r="F63" s="625"/>
      <c r="G63" s="625"/>
      <c r="H63" s="624"/>
      <c r="I63" s="87"/>
    </row>
    <row r="64" spans="1:256" ht="15.75" customHeight="1">
      <c r="A64" s="84" t="s">
        <v>273</v>
      </c>
      <c r="B64" s="532" t="s">
        <v>440</v>
      </c>
      <c r="C64" s="625"/>
      <c r="D64" s="625"/>
      <c r="E64" s="625"/>
      <c r="F64" s="625"/>
      <c r="G64" s="625"/>
      <c r="H64" s="624"/>
      <c r="I64" s="87"/>
    </row>
    <row r="65" spans="1:12" ht="15.75" customHeight="1">
      <c r="A65" s="84" t="s">
        <v>274</v>
      </c>
      <c r="B65" s="532" t="s">
        <v>356</v>
      </c>
      <c r="C65" s="625"/>
      <c r="D65" s="625"/>
      <c r="E65" s="625"/>
      <c r="F65" s="625"/>
      <c r="G65" s="625"/>
      <c r="H65" s="624"/>
      <c r="I65" s="87"/>
    </row>
    <row r="66" spans="1:12" ht="15.75" customHeight="1">
      <c r="A66" s="385" t="s">
        <v>330</v>
      </c>
      <c r="B66" s="534"/>
      <c r="C66" s="534"/>
      <c r="D66" s="534"/>
      <c r="E66" s="534"/>
      <c r="F66" s="534"/>
      <c r="G66" s="534"/>
      <c r="H66" s="623"/>
      <c r="I66" s="68">
        <f>SUM(I59:I65)</f>
        <v>904.8</v>
      </c>
    </row>
    <row r="67" spans="1:12" ht="30" customHeight="1">
      <c r="A67" s="517" t="s">
        <v>276</v>
      </c>
      <c r="B67" s="518"/>
      <c r="C67" s="518"/>
      <c r="D67" s="518"/>
      <c r="E67" s="518"/>
      <c r="F67" s="518"/>
      <c r="G67" s="518"/>
      <c r="H67" s="518"/>
      <c r="I67" s="398"/>
    </row>
    <row r="68" spans="1:12" ht="18.75" customHeight="1">
      <c r="A68" s="75">
        <v>2</v>
      </c>
      <c r="B68" s="528" t="s">
        <v>357</v>
      </c>
      <c r="C68" s="529"/>
      <c r="D68" s="529"/>
      <c r="E68" s="529"/>
      <c r="F68" s="529"/>
      <c r="G68" s="529"/>
      <c r="H68" s="530"/>
      <c r="I68" s="53" t="s">
        <v>127</v>
      </c>
    </row>
    <row r="69" spans="1:12" ht="15.75" customHeight="1">
      <c r="A69" s="52" t="s">
        <v>259</v>
      </c>
      <c r="B69" s="507" t="s">
        <v>347</v>
      </c>
      <c r="C69" s="507"/>
      <c r="D69" s="507"/>
      <c r="E69" s="507"/>
      <c r="F69" s="507"/>
      <c r="G69" s="507"/>
      <c r="H69" s="531"/>
      <c r="I69" s="88">
        <f>IF(ROUND((21*H70*H71)-(I59*0.06),2)&lt;0,0,ROUND((21*H70*H71)-(I59*0.06),2))*1+(H70*H71*21.726-0.06*I59)*0</f>
        <v>91.26</v>
      </c>
      <c r="K69" s="1">
        <f>2*22*2.7</f>
        <v>118.80000000000001</v>
      </c>
    </row>
    <row r="70" spans="1:12" ht="22.5" customHeight="1">
      <c r="A70" s="52"/>
      <c r="B70" s="519" t="s">
        <v>334</v>
      </c>
      <c r="C70" s="520"/>
      <c r="D70" s="520"/>
      <c r="E70" s="520"/>
      <c r="F70" s="520"/>
      <c r="G70" s="520"/>
      <c r="H70" s="91">
        <v>3.25</v>
      </c>
      <c r="I70" s="89" t="s">
        <v>227</v>
      </c>
      <c r="K70" s="1">
        <f>0.06*572*(22/30)</f>
        <v>25.167999999999999</v>
      </c>
      <c r="L70" s="1">
        <f>K69-K70</f>
        <v>93.632000000000005</v>
      </c>
    </row>
    <row r="71" spans="1:12" ht="17.25" customHeight="1">
      <c r="A71" s="52"/>
      <c r="B71" s="521" t="s">
        <v>335</v>
      </c>
      <c r="C71" s="521"/>
      <c r="D71" s="521"/>
      <c r="E71" s="521"/>
      <c r="F71" s="521"/>
      <c r="G71" s="521"/>
      <c r="H71" s="114">
        <v>2</v>
      </c>
      <c r="I71" s="89"/>
    </row>
    <row r="72" spans="1:12" ht="15.75" customHeight="1">
      <c r="A72" s="52" t="s">
        <v>261</v>
      </c>
      <c r="B72" s="532" t="s">
        <v>46</v>
      </c>
      <c r="C72" s="533"/>
      <c r="D72" s="533"/>
      <c r="E72" s="533"/>
      <c r="F72" s="533"/>
      <c r="G72" s="533"/>
      <c r="H72" s="534"/>
      <c r="I72" s="88">
        <f>ROUND(21*H73*(1-0.175),2)*1+ROUND(21.726*6*(1-0.175),2)*0</f>
        <v>225.23</v>
      </c>
    </row>
    <row r="73" spans="1:12" ht="15.75" customHeight="1">
      <c r="A73" s="52"/>
      <c r="B73" s="519" t="s">
        <v>45</v>
      </c>
      <c r="C73" s="520"/>
      <c r="D73" s="520"/>
      <c r="E73" s="520"/>
      <c r="F73" s="520"/>
      <c r="G73" s="520"/>
      <c r="H73" s="91">
        <v>13</v>
      </c>
      <c r="I73" s="89" t="s">
        <v>227</v>
      </c>
    </row>
    <row r="74" spans="1:12" ht="15.75" customHeight="1">
      <c r="A74" s="52" t="s">
        <v>263</v>
      </c>
      <c r="B74" s="532" t="s">
        <v>277</v>
      </c>
      <c r="C74" s="533"/>
      <c r="D74" s="533"/>
      <c r="E74" s="533"/>
      <c r="F74" s="533"/>
      <c r="G74" s="533"/>
      <c r="H74" s="534"/>
      <c r="I74" s="88">
        <v>0</v>
      </c>
    </row>
    <row r="75" spans="1:12" ht="15.75" customHeight="1">
      <c r="A75" s="52" t="s">
        <v>264</v>
      </c>
      <c r="B75" s="652" t="s">
        <v>299</v>
      </c>
      <c r="C75" s="625"/>
      <c r="D75" s="625"/>
      <c r="E75" s="625"/>
      <c r="F75" s="625"/>
      <c r="G75" s="625"/>
      <c r="H75" s="534"/>
      <c r="I75" s="90">
        <v>0</v>
      </c>
    </row>
    <row r="76" spans="1:12" ht="27" customHeight="1">
      <c r="A76" s="52" t="s">
        <v>272</v>
      </c>
      <c r="B76" s="532" t="s">
        <v>462</v>
      </c>
      <c r="C76" s="653"/>
      <c r="D76" s="653"/>
      <c r="E76" s="653"/>
      <c r="F76" s="653"/>
      <c r="G76" s="653"/>
      <c r="H76" s="654"/>
      <c r="I76" s="88">
        <f>ROUND(0.001068*5000,2)</f>
        <v>5.34</v>
      </c>
    </row>
    <row r="77" spans="1:12" ht="26.25" customHeight="1">
      <c r="A77" s="52" t="s">
        <v>273</v>
      </c>
      <c r="B77" s="532" t="s">
        <v>458</v>
      </c>
      <c r="C77" s="533"/>
      <c r="D77" s="533"/>
      <c r="E77" s="533"/>
      <c r="F77" s="533"/>
      <c r="G77" s="533"/>
      <c r="H77" s="629"/>
      <c r="I77" s="90">
        <v>8.4600000000000009</v>
      </c>
    </row>
    <row r="78" spans="1:12" ht="15.75" customHeight="1">
      <c r="A78" s="52" t="s">
        <v>274</v>
      </c>
      <c r="B78" s="652" t="s">
        <v>408</v>
      </c>
      <c r="C78" s="625"/>
      <c r="D78" s="625"/>
      <c r="E78" s="625"/>
      <c r="F78" s="625"/>
      <c r="G78" s="625"/>
      <c r="H78" s="534"/>
      <c r="I78" s="125" t="s">
        <v>227</v>
      </c>
    </row>
    <row r="79" spans="1:12" ht="15.75" customHeight="1">
      <c r="A79" s="78"/>
      <c r="B79" s="525" t="s">
        <v>358</v>
      </c>
      <c r="C79" s="526"/>
      <c r="D79" s="526"/>
      <c r="E79" s="526"/>
      <c r="F79" s="526"/>
      <c r="G79" s="526"/>
      <c r="H79" s="527"/>
      <c r="I79" s="55">
        <f>SUM(I69:I77)</f>
        <v>330.28999999999996</v>
      </c>
    </row>
    <row r="80" spans="1:12" ht="7.5" customHeight="1">
      <c r="A80" s="647"/>
      <c r="B80" s="655"/>
      <c r="C80" s="655"/>
      <c r="D80" s="655"/>
      <c r="E80" s="655"/>
      <c r="F80" s="655"/>
      <c r="G80" s="655"/>
      <c r="H80" s="655"/>
      <c r="I80" s="656"/>
    </row>
    <row r="81" spans="1:9" ht="15.75" customHeight="1">
      <c r="A81" s="657" t="s">
        <v>300</v>
      </c>
      <c r="B81" s="653"/>
      <c r="C81" s="653"/>
      <c r="D81" s="653"/>
      <c r="E81" s="653"/>
      <c r="F81" s="653"/>
      <c r="G81" s="653"/>
      <c r="H81" s="653"/>
      <c r="I81" s="654"/>
    </row>
    <row r="82" spans="1:9" ht="7.5" customHeight="1">
      <c r="A82" s="659"/>
      <c r="B82" s="660"/>
      <c r="C82" s="660"/>
      <c r="D82" s="660"/>
      <c r="E82" s="660"/>
      <c r="F82" s="660"/>
      <c r="G82" s="660"/>
      <c r="H82" s="660"/>
      <c r="I82" s="661"/>
    </row>
    <row r="83" spans="1:9" ht="30" customHeight="1">
      <c r="A83" s="657" t="s">
        <v>278</v>
      </c>
      <c r="B83" s="658"/>
      <c r="C83" s="658"/>
      <c r="D83" s="658"/>
      <c r="E83" s="658"/>
      <c r="F83" s="658"/>
      <c r="G83" s="658"/>
      <c r="H83" s="658"/>
      <c r="I83" s="399"/>
    </row>
    <row r="84" spans="1:9" ht="15.75" customHeight="1">
      <c r="A84" s="75">
        <v>3</v>
      </c>
      <c r="B84" s="528" t="s">
        <v>359</v>
      </c>
      <c r="C84" s="529"/>
      <c r="D84" s="529"/>
      <c r="E84" s="529"/>
      <c r="F84" s="529"/>
      <c r="G84" s="529"/>
      <c r="H84" s="651"/>
      <c r="I84" s="75" t="s">
        <v>127</v>
      </c>
    </row>
    <row r="85" spans="1:9" ht="15.75" customHeight="1">
      <c r="A85" s="52" t="s">
        <v>259</v>
      </c>
      <c r="B85" s="532" t="s">
        <v>430</v>
      </c>
      <c r="C85" s="533"/>
      <c r="D85" s="533"/>
      <c r="E85" s="533"/>
      <c r="F85" s="533"/>
      <c r="G85" s="533"/>
      <c r="H85" s="624"/>
      <c r="I85" s="88">
        <v>30</v>
      </c>
    </row>
    <row r="86" spans="1:9" ht="15.75" customHeight="1">
      <c r="A86" s="52" t="s">
        <v>261</v>
      </c>
      <c r="B86" s="532" t="s">
        <v>82</v>
      </c>
      <c r="C86" s="533"/>
      <c r="D86" s="533"/>
      <c r="E86" s="533"/>
      <c r="F86" s="533"/>
      <c r="G86" s="533"/>
      <c r="H86" s="629"/>
      <c r="I86" s="90">
        <v>210</v>
      </c>
    </row>
    <row r="87" spans="1:9" ht="15.75" customHeight="1">
      <c r="A87" s="52" t="s">
        <v>263</v>
      </c>
      <c r="B87" s="652" t="s">
        <v>81</v>
      </c>
      <c r="C87" s="625"/>
      <c r="D87" s="625"/>
      <c r="E87" s="625"/>
      <c r="F87" s="625"/>
      <c r="G87" s="625"/>
      <c r="H87" s="624"/>
      <c r="I87" s="90">
        <v>38</v>
      </c>
    </row>
    <row r="88" spans="1:9" ht="15.75" customHeight="1">
      <c r="A88" s="52" t="s">
        <v>264</v>
      </c>
      <c r="B88" s="532" t="s">
        <v>226</v>
      </c>
      <c r="C88" s="533"/>
      <c r="D88" s="533"/>
      <c r="E88" s="533"/>
      <c r="F88" s="533"/>
      <c r="G88" s="533"/>
      <c r="H88" s="629"/>
      <c r="I88" s="90" t="s">
        <v>285</v>
      </c>
    </row>
    <row r="89" spans="1:9" ht="15.75" customHeight="1">
      <c r="A89" s="525" t="s">
        <v>360</v>
      </c>
      <c r="B89" s="637"/>
      <c r="C89" s="637"/>
      <c r="D89" s="637"/>
      <c r="E89" s="637"/>
      <c r="F89" s="637"/>
      <c r="G89" s="637"/>
      <c r="H89" s="638"/>
      <c r="I89" s="54">
        <f>ROUND(SUM(I85:I88),2)</f>
        <v>278</v>
      </c>
    </row>
    <row r="90" spans="1:9" ht="8.25" customHeight="1">
      <c r="A90" s="641"/>
      <c r="B90" s="642"/>
      <c r="C90" s="642"/>
      <c r="D90" s="642"/>
      <c r="E90" s="642"/>
      <c r="F90" s="642"/>
      <c r="G90" s="642"/>
      <c r="H90" s="642"/>
      <c r="I90" s="643"/>
    </row>
    <row r="91" spans="1:9" ht="15.75" customHeight="1">
      <c r="A91" s="666" t="s">
        <v>339</v>
      </c>
      <c r="B91" s="667"/>
      <c r="C91" s="667"/>
      <c r="D91" s="667"/>
      <c r="E91" s="667"/>
      <c r="F91" s="667"/>
      <c r="G91" s="667"/>
      <c r="H91" s="667"/>
      <c r="I91" s="710"/>
    </row>
    <row r="92" spans="1:9" ht="8.25" customHeight="1">
      <c r="A92" s="63"/>
      <c r="B92" s="61"/>
      <c r="C92" s="61"/>
      <c r="D92" s="61"/>
      <c r="E92" s="61"/>
      <c r="F92" s="61"/>
      <c r="G92" s="61"/>
      <c r="H92" s="61"/>
      <c r="I92" s="62"/>
    </row>
    <row r="93" spans="1:9" s="4" customFormat="1" ht="32.25" customHeight="1">
      <c r="A93" s="618" t="s">
        <v>361</v>
      </c>
      <c r="B93" s="431"/>
      <c r="C93" s="431"/>
      <c r="D93" s="431"/>
      <c r="E93" s="431"/>
      <c r="F93" s="431"/>
      <c r="G93" s="431"/>
      <c r="H93" s="431"/>
      <c r="I93" s="340"/>
    </row>
    <row r="94" spans="1:9" s="4" customFormat="1" ht="30" customHeight="1">
      <c r="A94" s="76" t="s">
        <v>279</v>
      </c>
      <c r="B94" s="528" t="s">
        <v>362</v>
      </c>
      <c r="C94" s="529"/>
      <c r="D94" s="529"/>
      <c r="E94" s="529"/>
      <c r="F94" s="529"/>
      <c r="G94" s="626"/>
      <c r="H94" s="53" t="s">
        <v>363</v>
      </c>
      <c r="I94" s="53" t="s">
        <v>364</v>
      </c>
    </row>
    <row r="95" spans="1:9" s="4" customFormat="1" ht="15.75" customHeight="1">
      <c r="A95" s="83" t="s">
        <v>259</v>
      </c>
      <c r="B95" s="545" t="s">
        <v>128</v>
      </c>
      <c r="C95" s="546"/>
      <c r="D95" s="546"/>
      <c r="E95" s="546"/>
      <c r="F95" s="546"/>
      <c r="G95" s="547"/>
      <c r="H95" s="92">
        <v>0.2</v>
      </c>
      <c r="I95" s="51">
        <f t="shared" ref="I95:I102" si="0">ROUND($I$66*H95,2)</f>
        <v>180.96</v>
      </c>
    </row>
    <row r="96" spans="1:9" s="4" customFormat="1" ht="15.75" customHeight="1">
      <c r="A96" s="83" t="s">
        <v>261</v>
      </c>
      <c r="B96" s="545" t="s">
        <v>129</v>
      </c>
      <c r="C96" s="546"/>
      <c r="D96" s="546"/>
      <c r="E96" s="546"/>
      <c r="F96" s="546"/>
      <c r="G96" s="547"/>
      <c r="H96" s="92">
        <v>1.4999999999999999E-2</v>
      </c>
      <c r="I96" s="51">
        <f t="shared" si="0"/>
        <v>13.57</v>
      </c>
    </row>
    <row r="97" spans="1:9" s="4" customFormat="1" ht="15.75" customHeight="1">
      <c r="A97" s="83" t="s">
        <v>263</v>
      </c>
      <c r="B97" s="545" t="s">
        <v>130</v>
      </c>
      <c r="C97" s="546"/>
      <c r="D97" s="546"/>
      <c r="E97" s="546"/>
      <c r="F97" s="546"/>
      <c r="G97" s="547"/>
      <c r="H97" s="92">
        <v>0.01</v>
      </c>
      <c r="I97" s="51">
        <f t="shared" si="0"/>
        <v>9.0500000000000007</v>
      </c>
    </row>
    <row r="98" spans="1:9" s="4" customFormat="1" ht="15.75" customHeight="1">
      <c r="A98" s="83" t="s">
        <v>264</v>
      </c>
      <c r="B98" s="545" t="s">
        <v>131</v>
      </c>
      <c r="C98" s="546"/>
      <c r="D98" s="546"/>
      <c r="E98" s="546"/>
      <c r="F98" s="546"/>
      <c r="G98" s="547"/>
      <c r="H98" s="92">
        <v>2E-3</v>
      </c>
      <c r="I98" s="51">
        <f t="shared" si="0"/>
        <v>1.81</v>
      </c>
    </row>
    <row r="99" spans="1:9" ht="15.75" customHeight="1">
      <c r="A99" s="83" t="s">
        <v>272</v>
      </c>
      <c r="B99" s="532" t="s">
        <v>301</v>
      </c>
      <c r="C99" s="533"/>
      <c r="D99" s="533"/>
      <c r="E99" s="533"/>
      <c r="F99" s="533"/>
      <c r="G99" s="629"/>
      <c r="H99" s="57">
        <v>2.5000000000000001E-2</v>
      </c>
      <c r="I99" s="51">
        <f t="shared" si="0"/>
        <v>22.62</v>
      </c>
    </row>
    <row r="100" spans="1:9" ht="15.75" customHeight="1">
      <c r="A100" s="83" t="s">
        <v>273</v>
      </c>
      <c r="B100" s="532" t="s">
        <v>132</v>
      </c>
      <c r="C100" s="533"/>
      <c r="D100" s="533"/>
      <c r="E100" s="533"/>
      <c r="F100" s="533"/>
      <c r="G100" s="629"/>
      <c r="H100" s="57">
        <v>0.08</v>
      </c>
      <c r="I100" s="51">
        <f t="shared" si="0"/>
        <v>72.38</v>
      </c>
    </row>
    <row r="101" spans="1:9" ht="55.5" customHeight="1">
      <c r="A101" s="83" t="s">
        <v>274</v>
      </c>
      <c r="B101" s="507" t="s">
        <v>343</v>
      </c>
      <c r="C101" s="727"/>
      <c r="D101" s="111" t="s">
        <v>342</v>
      </c>
      <c r="E101" s="112">
        <v>0.03</v>
      </c>
      <c r="F101" s="111" t="s">
        <v>344</v>
      </c>
      <c r="G101" s="113">
        <v>1</v>
      </c>
      <c r="H101" s="109">
        <f>ROUND((E101*G101),6)</f>
        <v>0.03</v>
      </c>
      <c r="I101" s="51">
        <f t="shared" si="0"/>
        <v>27.14</v>
      </c>
    </row>
    <row r="102" spans="1:9" ht="15.75" customHeight="1">
      <c r="A102" s="83" t="s">
        <v>275</v>
      </c>
      <c r="B102" s="532" t="s">
        <v>133</v>
      </c>
      <c r="C102" s="533"/>
      <c r="D102" s="533"/>
      <c r="E102" s="533"/>
      <c r="F102" s="533"/>
      <c r="G102" s="629"/>
      <c r="H102" s="57">
        <v>6.0000000000000001E-3</v>
      </c>
      <c r="I102" s="51">
        <f t="shared" si="0"/>
        <v>5.43</v>
      </c>
    </row>
    <row r="103" spans="1:9" ht="15.75" customHeight="1">
      <c r="A103" s="525" t="s">
        <v>134</v>
      </c>
      <c r="B103" s="536"/>
      <c r="C103" s="536"/>
      <c r="D103" s="536"/>
      <c r="E103" s="536"/>
      <c r="F103" s="536"/>
      <c r="G103" s="537"/>
      <c r="H103" s="110">
        <f>SUM(H95:H102)</f>
        <v>0.3680000000000001</v>
      </c>
      <c r="I103" s="55">
        <f>SUM(I95:I102)</f>
        <v>332.96</v>
      </c>
    </row>
    <row r="104" spans="1:9" ht="8.25" customHeight="1">
      <c r="A104" s="64"/>
      <c r="B104" s="65"/>
      <c r="C104" s="65"/>
      <c r="D104" s="65"/>
      <c r="E104" s="65"/>
      <c r="F104" s="65"/>
      <c r="G104" s="65"/>
      <c r="H104" s="66"/>
      <c r="I104" s="67"/>
    </row>
    <row r="105" spans="1:9" ht="38.25" customHeight="1">
      <c r="A105" s="644" t="s">
        <v>387</v>
      </c>
      <c r="B105" s="645"/>
      <c r="C105" s="645"/>
      <c r="D105" s="645"/>
      <c r="E105" s="645"/>
      <c r="F105" s="645"/>
      <c r="G105" s="645"/>
      <c r="H105" s="645"/>
      <c r="I105" s="646"/>
    </row>
    <row r="106" spans="1:9" ht="7.5" customHeight="1">
      <c r="A106" s="647"/>
      <c r="B106" s="642"/>
      <c r="C106" s="642"/>
      <c r="D106" s="642"/>
      <c r="E106" s="642"/>
      <c r="F106" s="642"/>
      <c r="G106" s="642"/>
      <c r="H106" s="642"/>
      <c r="I106" s="643"/>
    </row>
    <row r="107" spans="1:9" ht="18" customHeight="1">
      <c r="A107" s="539" t="s">
        <v>365</v>
      </c>
      <c r="B107" s="639"/>
      <c r="C107" s="639"/>
      <c r="D107" s="639"/>
      <c r="E107" s="639"/>
      <c r="F107" s="639"/>
      <c r="G107" s="639"/>
      <c r="H107" s="639"/>
      <c r="I107" s="640"/>
    </row>
    <row r="108" spans="1:9" ht="15.75" customHeight="1">
      <c r="A108" s="75" t="s">
        <v>280</v>
      </c>
      <c r="B108" s="528" t="s">
        <v>367</v>
      </c>
      <c r="C108" s="529"/>
      <c r="D108" s="529"/>
      <c r="E108" s="529"/>
      <c r="F108" s="529"/>
      <c r="G108" s="529"/>
      <c r="H108" s="636"/>
      <c r="I108" s="75" t="s">
        <v>127</v>
      </c>
    </row>
    <row r="109" spans="1:9" ht="15.75" customHeight="1">
      <c r="A109" s="52" t="s">
        <v>259</v>
      </c>
      <c r="B109" s="545" t="s">
        <v>366</v>
      </c>
      <c r="C109" s="546"/>
      <c r="D109" s="546"/>
      <c r="E109" s="546"/>
      <c r="F109" s="546"/>
      <c r="G109" s="546"/>
      <c r="H109" s="629"/>
      <c r="I109" s="51">
        <f>ROUND($I$66/12,2)</f>
        <v>75.400000000000006</v>
      </c>
    </row>
    <row r="110" spans="1:9" ht="15.75" customHeight="1">
      <c r="A110" s="525" t="s">
        <v>281</v>
      </c>
      <c r="B110" s="526"/>
      <c r="C110" s="526"/>
      <c r="D110" s="526"/>
      <c r="E110" s="526"/>
      <c r="F110" s="526"/>
      <c r="G110" s="526"/>
      <c r="H110" s="511"/>
      <c r="I110" s="108">
        <f>SUM(I109:I109)</f>
        <v>75.400000000000006</v>
      </c>
    </row>
    <row r="111" spans="1:9" ht="21" customHeight="1">
      <c r="A111" s="52" t="s">
        <v>261</v>
      </c>
      <c r="B111" s="633" t="s">
        <v>429</v>
      </c>
      <c r="C111" s="634"/>
      <c r="D111" s="634"/>
      <c r="E111" s="634"/>
      <c r="F111" s="634"/>
      <c r="G111" s="634"/>
      <c r="H111" s="635"/>
      <c r="I111" s="93">
        <f>ROUND(H103*I110,2)</f>
        <v>27.75</v>
      </c>
    </row>
    <row r="112" spans="1:9" ht="15.75" customHeight="1">
      <c r="A112" s="548" t="s">
        <v>134</v>
      </c>
      <c r="B112" s="549"/>
      <c r="C112" s="549"/>
      <c r="D112" s="549"/>
      <c r="E112" s="549"/>
      <c r="F112" s="549"/>
      <c r="G112" s="549"/>
      <c r="H112" s="649"/>
      <c r="I112" s="56">
        <f>SUM(I110:I111)</f>
        <v>103.15</v>
      </c>
    </row>
    <row r="113" spans="1:11" ht="10.5" customHeight="1">
      <c r="A113" s="659"/>
      <c r="B113" s="691"/>
      <c r="C113" s="691"/>
      <c r="D113" s="691"/>
      <c r="E113" s="691"/>
      <c r="F113" s="691"/>
      <c r="G113" s="691"/>
      <c r="H113" s="691"/>
      <c r="I113" s="692"/>
    </row>
    <row r="114" spans="1:11" ht="24.75" customHeight="1">
      <c r="A114" s="539" t="s">
        <v>368</v>
      </c>
      <c r="B114" s="540"/>
      <c r="C114" s="540"/>
      <c r="D114" s="540"/>
      <c r="E114" s="540"/>
      <c r="F114" s="540"/>
      <c r="G114" s="540"/>
      <c r="H114" s="540"/>
      <c r="I114" s="541"/>
      <c r="K114" s="1">
        <f>1/12</f>
        <v>8.3333333333333329E-2</v>
      </c>
    </row>
    <row r="115" spans="1:11" ht="15.75" customHeight="1">
      <c r="A115" s="75" t="s">
        <v>282</v>
      </c>
      <c r="B115" s="542" t="s">
        <v>287</v>
      </c>
      <c r="C115" s="543"/>
      <c r="D115" s="543"/>
      <c r="E115" s="543"/>
      <c r="F115" s="543"/>
      <c r="G115" s="543"/>
      <c r="H115" s="544"/>
      <c r="I115" s="75" t="s">
        <v>127</v>
      </c>
    </row>
    <row r="116" spans="1:11" ht="15.75" customHeight="1">
      <c r="A116" s="52" t="s">
        <v>259</v>
      </c>
      <c r="B116" s="532" t="s">
        <v>337</v>
      </c>
      <c r="C116" s="533"/>
      <c r="D116" s="533"/>
      <c r="E116" s="533"/>
      <c r="F116" s="533"/>
      <c r="G116" s="533"/>
      <c r="H116" s="629"/>
      <c r="I116" s="51">
        <f>ROUND(((($I$66+$I$66/3)*4/12)/12)*0.02,2)</f>
        <v>0.67</v>
      </c>
    </row>
    <row r="117" spans="1:11" ht="15.75" customHeight="1">
      <c r="A117" s="52" t="s">
        <v>261</v>
      </c>
      <c r="B117" s="532" t="s">
        <v>424</v>
      </c>
      <c r="C117" s="533"/>
      <c r="D117" s="533"/>
      <c r="E117" s="533"/>
      <c r="F117" s="533"/>
      <c r="G117" s="533"/>
      <c r="H117" s="629"/>
      <c r="I117" s="51">
        <f>ROUND(H103*I116,2)</f>
        <v>0.25</v>
      </c>
    </row>
    <row r="118" spans="1:11" ht="15.75" customHeight="1">
      <c r="A118" s="525" t="s">
        <v>134</v>
      </c>
      <c r="B118" s="650"/>
      <c r="C118" s="650"/>
      <c r="D118" s="650"/>
      <c r="E118" s="650"/>
      <c r="F118" s="650"/>
      <c r="G118" s="650"/>
      <c r="H118" s="388"/>
      <c r="I118" s="55">
        <f>SUM(I116:I117)</f>
        <v>0.92</v>
      </c>
    </row>
    <row r="119" spans="1:11" s="4" customFormat="1" ht="26.25" customHeight="1">
      <c r="A119" s="630" t="s">
        <v>369</v>
      </c>
      <c r="B119" s="631"/>
      <c r="C119" s="631"/>
      <c r="D119" s="631"/>
      <c r="E119" s="631"/>
      <c r="F119" s="631"/>
      <c r="G119" s="631"/>
      <c r="H119" s="631"/>
      <c r="I119" s="632"/>
    </row>
    <row r="120" spans="1:11" s="4" customFormat="1" ht="15.75" customHeight="1">
      <c r="A120" s="75" t="s">
        <v>283</v>
      </c>
      <c r="B120" s="542" t="s">
        <v>370</v>
      </c>
      <c r="C120" s="543"/>
      <c r="D120" s="543"/>
      <c r="E120" s="543"/>
      <c r="F120" s="543"/>
      <c r="G120" s="543"/>
      <c r="H120" s="544"/>
      <c r="I120" s="75" t="s">
        <v>127</v>
      </c>
    </row>
    <row r="121" spans="1:11" s="4" customFormat="1" ht="47.25" customHeight="1">
      <c r="A121" s="52" t="s">
        <v>259</v>
      </c>
      <c r="B121" s="545" t="s">
        <v>37</v>
      </c>
      <c r="C121" s="546"/>
      <c r="D121" s="546"/>
      <c r="E121" s="546"/>
      <c r="F121" s="546"/>
      <c r="G121" s="546"/>
      <c r="H121" s="547"/>
      <c r="I121" s="51">
        <f>ROUND((($I$66/12)+($I$109/12)+($I$130/12))*(30/30)*0.05,2)</f>
        <v>4.5</v>
      </c>
    </row>
    <row r="122" spans="1:11" s="4" customFormat="1" ht="15.75" customHeight="1">
      <c r="A122" s="52" t="s">
        <v>261</v>
      </c>
      <c r="B122" s="538" t="s">
        <v>371</v>
      </c>
      <c r="C122" s="538"/>
      <c r="D122" s="538"/>
      <c r="E122" s="538"/>
      <c r="F122" s="538"/>
      <c r="G122" s="538"/>
      <c r="H122" s="538"/>
      <c r="I122" s="51">
        <f>ROUND($H$100*I121,2)</f>
        <v>0.36</v>
      </c>
    </row>
    <row r="123" spans="1:11" s="4" customFormat="1" ht="24.75" customHeight="1">
      <c r="A123" s="52" t="s">
        <v>263</v>
      </c>
      <c r="B123" s="545" t="s">
        <v>456</v>
      </c>
      <c r="C123" s="546"/>
      <c r="D123" s="546"/>
      <c r="E123" s="546"/>
      <c r="F123" s="546"/>
      <c r="G123" s="546"/>
      <c r="H123" s="547"/>
      <c r="I123" s="51">
        <f>ROUND(0.08*0.5*($I$66+$I$109+$I$130)*0.05,2)</f>
        <v>2.16</v>
      </c>
    </row>
    <row r="124" spans="1:11" s="4" customFormat="1" ht="29.25" customHeight="1">
      <c r="A124" s="52" t="s">
        <v>264</v>
      </c>
      <c r="B124" s="648" t="s">
        <v>27</v>
      </c>
      <c r="C124" s="538"/>
      <c r="D124" s="538"/>
      <c r="E124" s="538"/>
      <c r="F124" s="538"/>
      <c r="G124" s="538"/>
      <c r="H124" s="538"/>
      <c r="I124" s="51">
        <f>ROUND(((($I$66/30)*7)/$H$11)*0.9,2)</f>
        <v>15.83</v>
      </c>
    </row>
    <row r="125" spans="1:11" s="4" customFormat="1" ht="15.75" customHeight="1">
      <c r="A125" s="52" t="s">
        <v>272</v>
      </c>
      <c r="B125" s="538" t="s">
        <v>423</v>
      </c>
      <c r="C125" s="538"/>
      <c r="D125" s="538"/>
      <c r="E125" s="538"/>
      <c r="F125" s="538"/>
      <c r="G125" s="538"/>
      <c r="H125" s="538"/>
      <c r="I125" s="51">
        <f>ROUND($H$103*I124,2)</f>
        <v>5.83</v>
      </c>
    </row>
    <row r="126" spans="1:11" s="4" customFormat="1" ht="24.75" customHeight="1">
      <c r="A126" s="52" t="s">
        <v>273</v>
      </c>
      <c r="B126" s="545" t="s">
        <v>457</v>
      </c>
      <c r="C126" s="546"/>
      <c r="D126" s="546"/>
      <c r="E126" s="546"/>
      <c r="F126" s="546"/>
      <c r="G126" s="546"/>
      <c r="H126" s="547"/>
      <c r="I126" s="51">
        <f>ROUND(0.08*0.5*($I$66+$I$109+$I$130)*0.9,2)</f>
        <v>38.909999999999997</v>
      </c>
    </row>
    <row r="127" spans="1:11" s="4" customFormat="1" ht="15.75" customHeight="1">
      <c r="A127" s="548" t="s">
        <v>134</v>
      </c>
      <c r="B127" s="549"/>
      <c r="C127" s="549"/>
      <c r="D127" s="549"/>
      <c r="E127" s="549"/>
      <c r="F127" s="549"/>
      <c r="G127" s="549"/>
      <c r="H127" s="549"/>
      <c r="I127" s="55">
        <f>SUM(I121:I126)</f>
        <v>67.59</v>
      </c>
    </row>
    <row r="128" spans="1:11" ht="24" customHeight="1">
      <c r="A128" s="539" t="s">
        <v>349</v>
      </c>
      <c r="B128" s="540"/>
      <c r="C128" s="540"/>
      <c r="D128" s="540"/>
      <c r="E128" s="540"/>
      <c r="F128" s="540"/>
      <c r="G128" s="540"/>
      <c r="H128" s="540"/>
      <c r="I128" s="541"/>
    </row>
    <row r="129" spans="1:11" ht="15.75" customHeight="1">
      <c r="A129" s="77" t="s">
        <v>284</v>
      </c>
      <c r="B129" s="542" t="s">
        <v>350</v>
      </c>
      <c r="C129" s="543"/>
      <c r="D129" s="543"/>
      <c r="E129" s="543"/>
      <c r="F129" s="543"/>
      <c r="G129" s="543"/>
      <c r="H129" s="544"/>
      <c r="I129" s="77" t="s">
        <v>127</v>
      </c>
    </row>
    <row r="130" spans="1:11" ht="15.75" customHeight="1">
      <c r="A130" s="94" t="s">
        <v>259</v>
      </c>
      <c r="B130" s="538" t="s">
        <v>351</v>
      </c>
      <c r="C130" s="538"/>
      <c r="D130" s="538"/>
      <c r="E130" s="538"/>
      <c r="F130" s="538"/>
      <c r="G130" s="538"/>
      <c r="H130" s="538"/>
      <c r="I130" s="51">
        <f>ROUND($I$66/12,2)+ROUND(($I$66/3)/12,2)</f>
        <v>100.53</v>
      </c>
    </row>
    <row r="131" spans="1:11" ht="15.75" customHeight="1">
      <c r="A131" s="94" t="s">
        <v>261</v>
      </c>
      <c r="B131" s="538" t="s">
        <v>348</v>
      </c>
      <c r="C131" s="538"/>
      <c r="D131" s="538"/>
      <c r="E131" s="538"/>
      <c r="F131" s="538"/>
      <c r="G131" s="538"/>
      <c r="H131" s="538"/>
      <c r="I131" s="95">
        <f>ROUND(((($I$66/30)*5)/12),2)</f>
        <v>12.57</v>
      </c>
    </row>
    <row r="132" spans="1:11" ht="15.75" customHeight="1">
      <c r="A132" s="94" t="s">
        <v>263</v>
      </c>
      <c r="B132" s="538" t="s">
        <v>346</v>
      </c>
      <c r="C132" s="538"/>
      <c r="D132" s="538"/>
      <c r="E132" s="538"/>
      <c r="F132" s="538"/>
      <c r="G132" s="538"/>
      <c r="H132" s="538"/>
      <c r="I132" s="95">
        <f>ROUND((($I$66/30)*5)/12*0.015,2)</f>
        <v>0.19</v>
      </c>
    </row>
    <row r="133" spans="1:11" ht="15.75" customHeight="1">
      <c r="A133" s="94" t="s">
        <v>264</v>
      </c>
      <c r="B133" s="538" t="s">
        <v>345</v>
      </c>
      <c r="C133" s="538"/>
      <c r="D133" s="538"/>
      <c r="E133" s="538"/>
      <c r="F133" s="538"/>
      <c r="G133" s="538"/>
      <c r="H133" s="538"/>
      <c r="I133" s="95">
        <f>ROUND((($I$66/30)*2.96)/12,2)</f>
        <v>7.44</v>
      </c>
    </row>
    <row r="134" spans="1:11" ht="15.75" customHeight="1">
      <c r="A134" s="94" t="s">
        <v>272</v>
      </c>
      <c r="B134" s="538" t="s">
        <v>112</v>
      </c>
      <c r="C134" s="538"/>
      <c r="D134" s="538"/>
      <c r="E134" s="538"/>
      <c r="F134" s="538"/>
      <c r="G134" s="538"/>
      <c r="H134" s="538"/>
      <c r="I134" s="96">
        <f>ROUND(((($I$66/30)*15)/12)*0.0078,2)</f>
        <v>0.28999999999999998</v>
      </c>
    </row>
    <row r="135" spans="1:11" ht="15.75" customHeight="1">
      <c r="A135" s="94" t="s">
        <v>273</v>
      </c>
      <c r="B135" s="538" t="s">
        <v>126</v>
      </c>
      <c r="C135" s="538"/>
      <c r="D135" s="538"/>
      <c r="E135" s="538"/>
      <c r="F135" s="538"/>
      <c r="G135" s="538"/>
      <c r="H135" s="538"/>
      <c r="I135" s="96">
        <v>0</v>
      </c>
    </row>
    <row r="136" spans="1:11" ht="15.75" customHeight="1">
      <c r="A136" s="548" t="s">
        <v>281</v>
      </c>
      <c r="B136" s="548"/>
      <c r="C136" s="548"/>
      <c r="D136" s="548"/>
      <c r="E136" s="548"/>
      <c r="F136" s="548"/>
      <c r="G136" s="548"/>
      <c r="H136" s="548"/>
      <c r="I136" s="58">
        <f>SUM(I130:I135)</f>
        <v>121.02</v>
      </c>
    </row>
    <row r="137" spans="1:11" ht="18" customHeight="1">
      <c r="A137" s="94" t="s">
        <v>274</v>
      </c>
      <c r="B137" s="519" t="s">
        <v>425</v>
      </c>
      <c r="C137" s="520"/>
      <c r="D137" s="520"/>
      <c r="E137" s="520"/>
      <c r="F137" s="520"/>
      <c r="G137" s="520"/>
      <c r="H137" s="742"/>
      <c r="I137" s="96">
        <f>ROUND(H103*I136,2)</f>
        <v>44.54</v>
      </c>
    </row>
    <row r="138" spans="1:11" ht="15.75" customHeight="1">
      <c r="A138" s="548" t="s">
        <v>134</v>
      </c>
      <c r="B138" s="548"/>
      <c r="C138" s="548"/>
      <c r="D138" s="548"/>
      <c r="E138" s="548"/>
      <c r="F138" s="548"/>
      <c r="G138" s="548"/>
      <c r="H138" s="548"/>
      <c r="I138" s="55">
        <f>SUM(I136:I137)</f>
        <v>165.56</v>
      </c>
    </row>
    <row r="139" spans="1:11" ht="28.5" customHeight="1">
      <c r="A139" s="630" t="s">
        <v>373</v>
      </c>
      <c r="B139" s="631"/>
      <c r="C139" s="631"/>
      <c r="D139" s="631"/>
      <c r="E139" s="631"/>
      <c r="F139" s="631"/>
      <c r="G139" s="631"/>
      <c r="H139" s="631"/>
      <c r="I139" s="632"/>
    </row>
    <row r="140" spans="1:11" ht="15.75" customHeight="1">
      <c r="A140" s="75">
        <v>4</v>
      </c>
      <c r="B140" s="528" t="s">
        <v>372</v>
      </c>
      <c r="C140" s="529"/>
      <c r="D140" s="529"/>
      <c r="E140" s="529"/>
      <c r="F140" s="529"/>
      <c r="G140" s="529"/>
      <c r="H140" s="626"/>
      <c r="I140" s="75" t="s">
        <v>127</v>
      </c>
    </row>
    <row r="141" spans="1:11" ht="15.75" customHeight="1">
      <c r="A141" s="52" t="s">
        <v>279</v>
      </c>
      <c r="B141" s="507" t="s">
        <v>362</v>
      </c>
      <c r="C141" s="507"/>
      <c r="D141" s="507"/>
      <c r="E141" s="507"/>
      <c r="F141" s="507"/>
      <c r="G141" s="507"/>
      <c r="H141" s="507"/>
      <c r="I141" s="88">
        <f>I103</f>
        <v>332.96</v>
      </c>
    </row>
    <row r="142" spans="1:11" ht="15.75" customHeight="1">
      <c r="A142" s="52" t="s">
        <v>280</v>
      </c>
      <c r="B142" s="507" t="s">
        <v>367</v>
      </c>
      <c r="C142" s="507"/>
      <c r="D142" s="507"/>
      <c r="E142" s="507"/>
      <c r="F142" s="507"/>
      <c r="G142" s="507"/>
      <c r="H142" s="507"/>
      <c r="I142" s="88">
        <f>I112</f>
        <v>103.15</v>
      </c>
    </row>
    <row r="143" spans="1:11" ht="15.75" customHeight="1">
      <c r="A143" s="52" t="s">
        <v>282</v>
      </c>
      <c r="B143" s="507" t="s">
        <v>287</v>
      </c>
      <c r="C143" s="507"/>
      <c r="D143" s="507"/>
      <c r="E143" s="507"/>
      <c r="F143" s="507"/>
      <c r="G143" s="507"/>
      <c r="H143" s="507"/>
      <c r="I143" s="88">
        <f>I118</f>
        <v>0.92</v>
      </c>
    </row>
    <row r="144" spans="1:11" ht="15.75" customHeight="1">
      <c r="A144" s="52" t="s">
        <v>283</v>
      </c>
      <c r="B144" s="507" t="s">
        <v>288</v>
      </c>
      <c r="C144" s="507"/>
      <c r="D144" s="507"/>
      <c r="E144" s="507"/>
      <c r="F144" s="507"/>
      <c r="G144" s="507"/>
      <c r="H144" s="507"/>
      <c r="I144" s="88">
        <f>I127</f>
        <v>67.59</v>
      </c>
      <c r="K144" s="47"/>
    </row>
    <row r="145" spans="1:9" ht="15.75" customHeight="1">
      <c r="A145" s="52" t="s">
        <v>284</v>
      </c>
      <c r="B145" s="507" t="s">
        <v>289</v>
      </c>
      <c r="C145" s="507"/>
      <c r="D145" s="507"/>
      <c r="E145" s="507"/>
      <c r="F145" s="507"/>
      <c r="G145" s="507"/>
      <c r="H145" s="507"/>
      <c r="I145" s="88">
        <f>I138</f>
        <v>165.56</v>
      </c>
    </row>
    <row r="146" spans="1:9" ht="15.75" customHeight="1">
      <c r="A146" s="52" t="s">
        <v>286</v>
      </c>
      <c r="B146" s="507" t="s">
        <v>126</v>
      </c>
      <c r="C146" s="507"/>
      <c r="D146" s="507"/>
      <c r="E146" s="507"/>
      <c r="F146" s="507"/>
      <c r="G146" s="507"/>
      <c r="H146" s="507"/>
      <c r="I146" s="88">
        <v>0</v>
      </c>
    </row>
    <row r="147" spans="1:9" ht="15.75" customHeight="1">
      <c r="A147" s="525" t="s">
        <v>134</v>
      </c>
      <c r="B147" s="536"/>
      <c r="C147" s="536"/>
      <c r="D147" s="536"/>
      <c r="E147" s="536"/>
      <c r="F147" s="536"/>
      <c r="G147" s="536"/>
      <c r="H147" s="537"/>
      <c r="I147" s="55">
        <f>SUM(I141:I146)</f>
        <v>670.18000000000006</v>
      </c>
    </row>
    <row r="148" spans="1:9" s="4" customFormat="1" ht="29.25" customHeight="1">
      <c r="A148" s="707" t="s">
        <v>333</v>
      </c>
      <c r="B148" s="708"/>
      <c r="C148" s="708"/>
      <c r="D148" s="708"/>
      <c r="E148" s="708"/>
      <c r="F148" s="708"/>
      <c r="G148" s="708"/>
      <c r="H148" s="708"/>
      <c r="I148" s="708"/>
    </row>
    <row r="149" spans="1:9" ht="32.25" customHeight="1">
      <c r="A149" s="75">
        <v>5</v>
      </c>
      <c r="B149" s="542" t="s">
        <v>374</v>
      </c>
      <c r="C149" s="543"/>
      <c r="D149" s="543"/>
      <c r="E149" s="543"/>
      <c r="F149" s="543"/>
      <c r="G149" s="544"/>
      <c r="H149" s="53" t="s">
        <v>363</v>
      </c>
      <c r="I149" s="116" t="s">
        <v>388</v>
      </c>
    </row>
    <row r="150" spans="1:9" ht="40.5" customHeight="1">
      <c r="A150" s="728" t="s">
        <v>317</v>
      </c>
      <c r="B150" s="729"/>
      <c r="C150" s="729"/>
      <c r="D150" s="729"/>
      <c r="E150" s="729"/>
      <c r="F150" s="729"/>
      <c r="G150" s="730"/>
      <c r="H150" s="69" t="s">
        <v>227</v>
      </c>
      <c r="I150" s="97">
        <f>SUM(I66+I79+I89+I147)</f>
        <v>2183.27</v>
      </c>
    </row>
    <row r="151" spans="1:9" ht="15.75" customHeight="1">
      <c r="A151" s="115" t="s">
        <v>259</v>
      </c>
      <c r="B151" s="709" t="s">
        <v>375</v>
      </c>
      <c r="C151" s="709"/>
      <c r="D151" s="709"/>
      <c r="E151" s="709"/>
      <c r="F151" s="709"/>
      <c r="G151" s="709"/>
      <c r="H151" s="57">
        <v>0.03</v>
      </c>
      <c r="I151" s="51">
        <f>ROUND(H151*I150,2)</f>
        <v>65.5</v>
      </c>
    </row>
    <row r="152" spans="1:9" ht="37.5" customHeight="1">
      <c r="A152" s="728" t="s">
        <v>318</v>
      </c>
      <c r="B152" s="731"/>
      <c r="C152" s="731"/>
      <c r="D152" s="731"/>
      <c r="E152" s="731"/>
      <c r="F152" s="731"/>
      <c r="G152" s="732"/>
      <c r="H152" s="70" t="s">
        <v>227</v>
      </c>
      <c r="I152" s="97">
        <f>SUM(I66+I79+I89+I147+I151)</f>
        <v>2248.77</v>
      </c>
    </row>
    <row r="153" spans="1:9" ht="15.75" customHeight="1">
      <c r="A153" s="115" t="s">
        <v>261</v>
      </c>
      <c r="B153" s="709" t="s">
        <v>290</v>
      </c>
      <c r="C153" s="709"/>
      <c r="D153" s="709"/>
      <c r="E153" s="709"/>
      <c r="F153" s="709"/>
      <c r="G153" s="709"/>
      <c r="H153" s="57">
        <v>6.7900000000000002E-2</v>
      </c>
      <c r="I153" s="51">
        <f>ROUND(H153*I152,2)</f>
        <v>152.69</v>
      </c>
    </row>
    <row r="154" spans="1:9" ht="45" customHeight="1">
      <c r="A154" s="728" t="s">
        <v>336</v>
      </c>
      <c r="B154" s="731"/>
      <c r="C154" s="731"/>
      <c r="D154" s="731"/>
      <c r="E154" s="731"/>
      <c r="F154" s="731"/>
      <c r="G154" s="732"/>
      <c r="H154" s="70" t="s">
        <v>227</v>
      </c>
      <c r="I154" s="97">
        <f>SUM(I66+I79+I89+I147+I151+I153)</f>
        <v>2401.46</v>
      </c>
    </row>
    <row r="155" spans="1:9" ht="15.75" customHeight="1">
      <c r="A155" s="52" t="s">
        <v>263</v>
      </c>
      <c r="B155" s="738" t="s">
        <v>291</v>
      </c>
      <c r="C155" s="738"/>
      <c r="D155" s="738"/>
      <c r="E155" s="738"/>
      <c r="F155" s="738"/>
      <c r="G155" s="738"/>
      <c r="H155" s="72" t="s">
        <v>227</v>
      </c>
      <c r="I155" s="73" t="s">
        <v>227</v>
      </c>
    </row>
    <row r="156" spans="1:9" ht="15.75" customHeight="1">
      <c r="A156" s="52"/>
      <c r="B156" s="738" t="s">
        <v>376</v>
      </c>
      <c r="C156" s="738"/>
      <c r="D156" s="738"/>
      <c r="E156" s="738"/>
      <c r="F156" s="738"/>
      <c r="G156" s="738"/>
      <c r="H156" s="72" t="s">
        <v>227</v>
      </c>
      <c r="I156" s="73" t="s">
        <v>227</v>
      </c>
    </row>
    <row r="157" spans="1:9" ht="17.25" customHeight="1">
      <c r="A157" s="52"/>
      <c r="B157" s="733" t="s">
        <v>78</v>
      </c>
      <c r="C157" s="734"/>
      <c r="D157" s="734"/>
      <c r="E157" s="734"/>
      <c r="F157" s="734"/>
      <c r="G157" s="735"/>
      <c r="H157" s="48">
        <v>0.03</v>
      </c>
      <c r="I157" s="51">
        <f>ROUND(($I$154/(1-$H$165))*H157,2)</f>
        <v>76.760000000000005</v>
      </c>
    </row>
    <row r="158" spans="1:9" ht="16.5" customHeight="1">
      <c r="A158" s="52"/>
      <c r="B158" s="733" t="s">
        <v>77</v>
      </c>
      <c r="C158" s="734"/>
      <c r="D158" s="734"/>
      <c r="E158" s="734"/>
      <c r="F158" s="734"/>
      <c r="G158" s="735"/>
      <c r="H158" s="48">
        <v>6.4999999999999997E-3</v>
      </c>
      <c r="I158" s="51">
        <f>ROUND(($I$154/(1-$H$165))*H158,2)</f>
        <v>16.63</v>
      </c>
    </row>
    <row r="159" spans="1:9" ht="29.25" customHeight="1">
      <c r="A159" s="52"/>
      <c r="B159" s="728" t="s">
        <v>308</v>
      </c>
      <c r="C159" s="736"/>
      <c r="D159" s="736"/>
      <c r="E159" s="736"/>
      <c r="F159" s="736"/>
      <c r="G159" s="737"/>
      <c r="H159" s="71" t="s">
        <v>227</v>
      </c>
      <c r="I159" s="73" t="s">
        <v>227</v>
      </c>
    </row>
    <row r="160" spans="1:9" ht="18" customHeight="1">
      <c r="A160" s="52"/>
      <c r="B160" s="627" t="s">
        <v>380</v>
      </c>
      <c r="C160" s="628"/>
      <c r="D160" s="628"/>
      <c r="E160" s="628"/>
      <c r="F160" s="628"/>
      <c r="G160" s="628"/>
      <c r="H160" s="71" t="s">
        <v>227</v>
      </c>
      <c r="I160" s="73" t="s">
        <v>227</v>
      </c>
    </row>
    <row r="161" spans="1:11" ht="18" customHeight="1">
      <c r="A161" s="52"/>
      <c r="B161" s="545" t="s">
        <v>381</v>
      </c>
      <c r="C161" s="533"/>
      <c r="D161" s="533"/>
      <c r="E161" s="533"/>
      <c r="F161" s="533"/>
      <c r="G161" s="533"/>
      <c r="H161" s="71" t="s">
        <v>227</v>
      </c>
      <c r="I161" s="73" t="s">
        <v>227</v>
      </c>
    </row>
    <row r="162" spans="1:11" ht="15" customHeight="1">
      <c r="A162" s="52"/>
      <c r="B162" s="733" t="s">
        <v>379</v>
      </c>
      <c r="C162" s="734"/>
      <c r="D162" s="734"/>
      <c r="E162" s="734"/>
      <c r="F162" s="734"/>
      <c r="G162" s="735"/>
      <c r="H162" s="48">
        <v>2.5000000000000001E-2</v>
      </c>
      <c r="I162" s="51">
        <f>ROUND(($I$154/(1-$H$165))*H162,2)</f>
        <v>63.97</v>
      </c>
    </row>
    <row r="163" spans="1:11" ht="15.75" customHeight="1">
      <c r="A163" s="525" t="s">
        <v>134</v>
      </c>
      <c r="B163" s="536"/>
      <c r="C163" s="536"/>
      <c r="D163" s="536"/>
      <c r="E163" s="536"/>
      <c r="F163" s="536"/>
      <c r="G163" s="536"/>
      <c r="H163" s="537"/>
      <c r="I163" s="55">
        <f>SUM(I151+I153+I157+I158+I162)</f>
        <v>375.54999999999995</v>
      </c>
    </row>
    <row r="164" spans="1:11" ht="6.75" customHeight="1">
      <c r="A164" s="739"/>
      <c r="B164" s="740"/>
      <c r="C164" s="740"/>
      <c r="D164" s="740"/>
      <c r="E164" s="740"/>
      <c r="F164" s="740"/>
      <c r="G164" s="740"/>
      <c r="H164" s="740"/>
      <c r="I164" s="741"/>
    </row>
    <row r="165" spans="1:11" ht="15.75" customHeight="1">
      <c r="A165" s="705" t="s">
        <v>302</v>
      </c>
      <c r="B165" s="706"/>
      <c r="C165" s="706"/>
      <c r="D165" s="706"/>
      <c r="E165" s="706"/>
      <c r="F165" s="706"/>
      <c r="G165" s="706"/>
      <c r="H165" s="98">
        <f>SUM(H157:H162)</f>
        <v>6.1499999999999999E-2</v>
      </c>
      <c r="I165" s="34">
        <f>SUM(I157:I162)</f>
        <v>157.36000000000001</v>
      </c>
    </row>
    <row r="166" spans="1:11" ht="12.75" customHeight="1">
      <c r="A166" s="695" t="s">
        <v>292</v>
      </c>
      <c r="B166" s="696"/>
      <c r="C166" s="703" t="s">
        <v>294</v>
      </c>
      <c r="D166" s="704"/>
      <c r="E166" s="704"/>
      <c r="F166" s="704"/>
      <c r="G166" s="704"/>
      <c r="H166" s="704"/>
      <c r="I166" s="704"/>
    </row>
    <row r="167" spans="1:11" ht="12" customHeight="1">
      <c r="A167" s="697"/>
      <c r="B167" s="698"/>
      <c r="C167" s="723" t="s">
        <v>293</v>
      </c>
      <c r="D167" s="724"/>
      <c r="E167" s="724"/>
      <c r="F167" s="724"/>
      <c r="G167" s="724"/>
      <c r="H167" s="724"/>
      <c r="I167" s="724"/>
    </row>
    <row r="168" spans="1:11" ht="13.5" customHeight="1">
      <c r="A168" s="699"/>
      <c r="B168" s="700"/>
      <c r="C168" s="725" t="s">
        <v>295</v>
      </c>
      <c r="D168" s="726"/>
      <c r="E168" s="726"/>
      <c r="F168" s="726"/>
      <c r="G168" s="726"/>
      <c r="H168" s="726"/>
      <c r="I168" s="726"/>
    </row>
    <row r="169" spans="1:11" ht="6.75" customHeight="1">
      <c r="A169" s="701"/>
      <c r="B169" s="702"/>
      <c r="C169" s="702"/>
      <c r="D169" s="702"/>
      <c r="E169" s="702"/>
      <c r="F169" s="702"/>
      <c r="G169" s="702"/>
      <c r="H169" s="702"/>
      <c r="I169" s="702"/>
    </row>
    <row r="170" spans="1:11" ht="32.25" customHeight="1">
      <c r="A170" s="545" t="s">
        <v>382</v>
      </c>
      <c r="B170" s="533"/>
      <c r="C170" s="533"/>
      <c r="D170" s="533"/>
      <c r="E170" s="533"/>
      <c r="F170" s="533"/>
      <c r="G170" s="533"/>
      <c r="H170" s="533"/>
      <c r="I170" s="629"/>
    </row>
    <row r="171" spans="1:11" ht="5.25" customHeight="1">
      <c r="A171" s="693"/>
      <c r="B171" s="694"/>
      <c r="C171" s="694"/>
      <c r="D171" s="694"/>
      <c r="E171" s="694"/>
      <c r="F171" s="694"/>
      <c r="G171" s="694"/>
      <c r="H171" s="694"/>
      <c r="I171" s="694"/>
    </row>
    <row r="172" spans="1:11" ht="45" customHeight="1">
      <c r="A172" s="748" t="s">
        <v>383</v>
      </c>
      <c r="B172" s="749"/>
      <c r="C172" s="749"/>
      <c r="D172" s="749"/>
      <c r="E172" s="749"/>
      <c r="F172" s="749"/>
      <c r="G172" s="749"/>
      <c r="H172" s="749"/>
      <c r="I172" s="750"/>
    </row>
    <row r="173" spans="1:11" ht="15" customHeight="1">
      <c r="A173" s="848" t="s">
        <v>114</v>
      </c>
      <c r="B173" s="849"/>
      <c r="C173" s="849"/>
      <c r="D173" s="849"/>
      <c r="E173" s="849"/>
      <c r="F173" s="849"/>
      <c r="G173" s="849"/>
      <c r="H173" s="849"/>
      <c r="I173" s="35" t="s">
        <v>127</v>
      </c>
    </row>
    <row r="174" spans="1:11" ht="15" customHeight="1">
      <c r="A174" s="99" t="s">
        <v>259</v>
      </c>
      <c r="B174" s="533" t="s">
        <v>384</v>
      </c>
      <c r="C174" s="533"/>
      <c r="D174" s="533"/>
      <c r="E174" s="533"/>
      <c r="F174" s="533"/>
      <c r="G174" s="533"/>
      <c r="H174" s="533"/>
      <c r="I174" s="90">
        <f>I66</f>
        <v>904.8</v>
      </c>
      <c r="K174" s="59"/>
    </row>
    <row r="175" spans="1:11" ht="15" customHeight="1">
      <c r="A175" s="99" t="s">
        <v>261</v>
      </c>
      <c r="B175" s="533" t="s">
        <v>101</v>
      </c>
      <c r="C175" s="533"/>
      <c r="D175" s="533"/>
      <c r="E175" s="533"/>
      <c r="F175" s="533"/>
      <c r="G175" s="533"/>
      <c r="H175" s="533"/>
      <c r="I175" s="90">
        <f>I79</f>
        <v>330.28999999999996</v>
      </c>
    </row>
    <row r="176" spans="1:11" ht="15" customHeight="1">
      <c r="A176" s="99" t="s">
        <v>263</v>
      </c>
      <c r="B176" s="533" t="s">
        <v>102</v>
      </c>
      <c r="C176" s="533"/>
      <c r="D176" s="533"/>
      <c r="E176" s="533"/>
      <c r="F176" s="533"/>
      <c r="G176" s="533"/>
      <c r="H176" s="533"/>
      <c r="I176" s="90">
        <f>I89</f>
        <v>278</v>
      </c>
    </row>
    <row r="177" spans="1:9" ht="15" customHeight="1">
      <c r="A177" s="99" t="s">
        <v>264</v>
      </c>
      <c r="B177" s="533" t="s">
        <v>372</v>
      </c>
      <c r="C177" s="533"/>
      <c r="D177" s="533"/>
      <c r="E177" s="533"/>
      <c r="F177" s="533"/>
      <c r="G177" s="533"/>
      <c r="H177" s="533"/>
      <c r="I177" s="90">
        <f>I147</f>
        <v>670.18000000000006</v>
      </c>
    </row>
    <row r="178" spans="1:9" ht="15" customHeight="1">
      <c r="A178" s="617" t="s">
        <v>115</v>
      </c>
      <c r="B178" s="387"/>
      <c r="C178" s="387"/>
      <c r="D178" s="387"/>
      <c r="E178" s="387"/>
      <c r="F178" s="387"/>
      <c r="G178" s="387"/>
      <c r="H178" s="387"/>
      <c r="I178" s="54">
        <f>SUM(I174:I177)</f>
        <v>2183.27</v>
      </c>
    </row>
    <row r="179" spans="1:9" ht="15" customHeight="1">
      <c r="A179" s="117" t="s">
        <v>272</v>
      </c>
      <c r="B179" s="533" t="s">
        <v>103</v>
      </c>
      <c r="C179" s="533"/>
      <c r="D179" s="533"/>
      <c r="E179" s="533"/>
      <c r="F179" s="533"/>
      <c r="G179" s="533"/>
      <c r="H179" s="533"/>
      <c r="I179" s="90">
        <f>I163</f>
        <v>375.54999999999995</v>
      </c>
    </row>
    <row r="180" spans="1:9" ht="15" customHeight="1">
      <c r="A180" s="617" t="s">
        <v>104</v>
      </c>
      <c r="B180" s="387"/>
      <c r="C180" s="387"/>
      <c r="D180" s="387"/>
      <c r="E180" s="387"/>
      <c r="F180" s="387"/>
      <c r="G180" s="387"/>
      <c r="H180" s="387"/>
      <c r="I180" s="54">
        <f>SUM(I178:I179)</f>
        <v>2558.8199999999997</v>
      </c>
    </row>
    <row r="181" spans="1:9" ht="30.75" customHeight="1">
      <c r="A181" s="755" t="s">
        <v>307</v>
      </c>
      <c r="B181" s="756"/>
      <c r="C181" s="756"/>
      <c r="D181" s="756"/>
      <c r="E181" s="756"/>
      <c r="F181" s="756"/>
      <c r="G181" s="756"/>
      <c r="H181" s="756"/>
      <c r="I181" s="757"/>
    </row>
    <row r="182" spans="1:9" ht="48.75" customHeight="1">
      <c r="A182" s="751" t="s">
        <v>105</v>
      </c>
      <c r="B182" s="752"/>
      <c r="C182" s="752"/>
      <c r="D182" s="752"/>
      <c r="E182" s="752"/>
      <c r="F182" s="752"/>
      <c r="G182" s="752"/>
      <c r="H182" s="752"/>
      <c r="I182" s="753"/>
    </row>
    <row r="183" spans="1:9" ht="63" customHeight="1">
      <c r="A183" s="758" t="s">
        <v>117</v>
      </c>
      <c r="B183" s="754"/>
      <c r="C183" s="754" t="s">
        <v>116</v>
      </c>
      <c r="D183" s="754"/>
      <c r="E183" s="104" t="s">
        <v>118</v>
      </c>
      <c r="F183" s="754" t="s">
        <v>119</v>
      </c>
      <c r="G183" s="754"/>
      <c r="H183" s="103" t="s">
        <v>120</v>
      </c>
      <c r="I183" s="103" t="s">
        <v>121</v>
      </c>
    </row>
    <row r="184" spans="1:9" ht="14.25" customHeight="1">
      <c r="A184" s="475" t="s">
        <v>122</v>
      </c>
      <c r="B184" s="535"/>
      <c r="C184" s="535" t="s">
        <v>305</v>
      </c>
      <c r="D184" s="535"/>
      <c r="E184" s="106"/>
      <c r="F184" s="535" t="s">
        <v>305</v>
      </c>
      <c r="G184" s="535"/>
      <c r="H184" s="107"/>
      <c r="I184" s="105" t="s">
        <v>305</v>
      </c>
    </row>
    <row r="185" spans="1:9" ht="15.75" customHeight="1">
      <c r="A185" s="475" t="s">
        <v>304</v>
      </c>
      <c r="B185" s="535"/>
      <c r="C185" s="535" t="s">
        <v>305</v>
      </c>
      <c r="D185" s="535"/>
      <c r="E185" s="106"/>
      <c r="F185" s="535" t="s">
        <v>305</v>
      </c>
      <c r="G185" s="535"/>
      <c r="H185" s="107"/>
      <c r="I185" s="105" t="s">
        <v>305</v>
      </c>
    </row>
    <row r="186" spans="1:9" ht="12.75">
      <c r="A186" s="475" t="s">
        <v>303</v>
      </c>
      <c r="B186" s="535"/>
      <c r="C186" s="535" t="s">
        <v>305</v>
      </c>
      <c r="D186" s="535"/>
      <c r="E186" s="105"/>
      <c r="F186" s="535" t="s">
        <v>305</v>
      </c>
      <c r="G186" s="535"/>
      <c r="H186" s="105"/>
      <c r="I186" s="105" t="s">
        <v>305</v>
      </c>
    </row>
    <row r="187" spans="1:9" ht="12.75">
      <c r="A187" s="462" t="s">
        <v>106</v>
      </c>
      <c r="B187" s="463"/>
      <c r="C187" s="463"/>
      <c r="D187" s="463"/>
      <c r="E187" s="463"/>
      <c r="F187" s="463"/>
      <c r="G187" s="463"/>
      <c r="H187" s="463"/>
      <c r="I187" s="105"/>
    </row>
    <row r="188" spans="1:9" ht="42" customHeight="1">
      <c r="A188" s="751" t="s">
        <v>107</v>
      </c>
      <c r="B188" s="523"/>
      <c r="C188" s="523"/>
      <c r="D188" s="523"/>
      <c r="E188" s="523"/>
      <c r="F188" s="523"/>
      <c r="G188" s="523"/>
      <c r="H188" s="523"/>
      <c r="I188" s="524"/>
    </row>
    <row r="189" spans="1:9" ht="21.75" customHeight="1">
      <c r="A189" s="751" t="s">
        <v>108</v>
      </c>
      <c r="B189" s="523"/>
      <c r="C189" s="523"/>
      <c r="D189" s="523"/>
      <c r="E189" s="523"/>
      <c r="F189" s="523"/>
      <c r="G189" s="523"/>
      <c r="H189" s="523"/>
      <c r="I189" s="524"/>
    </row>
    <row r="190" spans="1:9" ht="18" customHeight="1">
      <c r="A190" s="522" t="s">
        <v>123</v>
      </c>
      <c r="B190" s="523"/>
      <c r="C190" s="523"/>
      <c r="D190" s="523"/>
      <c r="E190" s="523"/>
      <c r="F190" s="523"/>
      <c r="G190" s="523"/>
      <c r="H190" s="524"/>
      <c r="I190" s="103" t="s">
        <v>127</v>
      </c>
    </row>
    <row r="191" spans="1:9" ht="12.75">
      <c r="A191" s="743" t="s">
        <v>390</v>
      </c>
      <c r="B191" s="734"/>
      <c r="C191" s="734"/>
      <c r="D191" s="734"/>
      <c r="E191" s="734"/>
      <c r="F191" s="734"/>
      <c r="G191" s="734"/>
      <c r="H191" s="735"/>
      <c r="I191" s="105"/>
    </row>
    <row r="192" spans="1:9" ht="12.75">
      <c r="A192" s="743" t="s">
        <v>124</v>
      </c>
      <c r="B192" s="734"/>
      <c r="C192" s="734"/>
      <c r="D192" s="734"/>
      <c r="E192" s="734"/>
      <c r="F192" s="734"/>
      <c r="G192" s="734"/>
      <c r="H192" s="735"/>
      <c r="I192" s="105"/>
    </row>
    <row r="193" spans="1:13" ht="21" customHeight="1">
      <c r="A193" s="743" t="s">
        <v>389</v>
      </c>
      <c r="B193" s="744"/>
      <c r="C193" s="744"/>
      <c r="D193" s="744"/>
      <c r="E193" s="744"/>
      <c r="F193" s="744"/>
      <c r="G193" s="744"/>
      <c r="H193" s="745"/>
      <c r="I193" s="105"/>
    </row>
    <row r="194" spans="1:13" ht="6.75" customHeight="1">
      <c r="A194" s="477"/>
      <c r="B194" s="478"/>
      <c r="C194" s="478"/>
      <c r="D194" s="478"/>
      <c r="E194" s="478"/>
      <c r="F194" s="478"/>
      <c r="G194" s="478"/>
      <c r="H194" s="478"/>
      <c r="I194" s="479"/>
    </row>
    <row r="195" spans="1:13" ht="15.75" customHeight="1">
      <c r="A195" s="475" t="s">
        <v>109</v>
      </c>
      <c r="B195" s="476"/>
      <c r="C195" s="476"/>
      <c r="D195" s="476"/>
      <c r="E195" s="476"/>
      <c r="F195" s="476"/>
      <c r="G195" s="476"/>
      <c r="H195" s="476"/>
      <c r="I195" s="476"/>
    </row>
    <row r="196" spans="1:13" ht="7.5" customHeight="1">
      <c r="A196" s="460"/>
      <c r="B196" s="461"/>
      <c r="C196" s="461"/>
      <c r="D196" s="461"/>
      <c r="E196" s="461"/>
      <c r="F196" s="461"/>
      <c r="G196" s="461"/>
      <c r="H196" s="461"/>
      <c r="I196" s="461"/>
    </row>
    <row r="197" spans="1:13" ht="15" hidden="1" customHeight="1">
      <c r="A197" s="26"/>
      <c r="B197" s="26"/>
      <c r="C197" s="26"/>
      <c r="D197" s="26"/>
      <c r="E197" s="26"/>
      <c r="F197" s="26"/>
      <c r="G197" s="26"/>
      <c r="H197" s="24"/>
      <c r="I197" s="41"/>
      <c r="J197" s="16"/>
      <c r="K197" s="9"/>
      <c r="L197" s="3"/>
      <c r="M197" s="10"/>
    </row>
    <row r="198" spans="1:13" ht="24" customHeight="1">
      <c r="A198" s="480" t="s">
        <v>306</v>
      </c>
      <c r="B198" s="480"/>
      <c r="C198" s="480"/>
      <c r="D198" s="480"/>
      <c r="E198" s="480"/>
      <c r="F198" s="480"/>
      <c r="G198" s="480"/>
      <c r="H198" s="480"/>
      <c r="I198" s="481"/>
    </row>
    <row r="199" spans="1:13" ht="15.75">
      <c r="A199" s="609" t="s">
        <v>162</v>
      </c>
      <c r="B199" s="609"/>
      <c r="C199" s="609"/>
      <c r="D199" s="609"/>
      <c r="E199" s="609"/>
      <c r="F199" s="609"/>
      <c r="G199" s="609"/>
      <c r="H199" s="609"/>
      <c r="I199" s="610"/>
    </row>
    <row r="200" spans="1:13" ht="11.45" customHeight="1">
      <c r="A200" s="19"/>
      <c r="B200" s="19"/>
      <c r="C200" s="19"/>
      <c r="D200" s="19"/>
      <c r="E200" s="19"/>
      <c r="F200" s="19"/>
      <c r="G200" s="19"/>
      <c r="H200" s="19"/>
      <c r="I200" s="38"/>
    </row>
    <row r="201" spans="1:13" ht="21" customHeight="1">
      <c r="A201" s="482" t="s">
        <v>110</v>
      </c>
      <c r="B201" s="482"/>
      <c r="C201" s="482"/>
      <c r="D201" s="482"/>
      <c r="E201" s="482"/>
      <c r="F201" s="482"/>
      <c r="G201" s="482"/>
      <c r="H201" s="482"/>
      <c r="I201" s="481"/>
    </row>
    <row r="202" spans="1:13" ht="48" customHeight="1">
      <c r="A202" s="611" t="s">
        <v>391</v>
      </c>
      <c r="B202" s="611"/>
      <c r="C202" s="611"/>
      <c r="D202" s="611"/>
      <c r="E202" s="611"/>
      <c r="F202" s="611"/>
      <c r="G202" s="611"/>
      <c r="H202" s="611"/>
      <c r="I202" s="612"/>
    </row>
    <row r="203" spans="1:13" ht="45" customHeight="1">
      <c r="A203" s="579" t="s">
        <v>225</v>
      </c>
      <c r="B203" s="447"/>
      <c r="C203" s="400" t="s">
        <v>148</v>
      </c>
      <c r="D203" s="400"/>
      <c r="E203" s="400" t="s">
        <v>149</v>
      </c>
      <c r="F203" s="400"/>
      <c r="G203" s="338" t="s">
        <v>150</v>
      </c>
      <c r="H203" s="339"/>
      <c r="I203" s="340"/>
    </row>
    <row r="204" spans="1:13" ht="14.25" customHeight="1">
      <c r="A204" s="366" t="s">
        <v>229</v>
      </c>
      <c r="B204" s="367"/>
      <c r="C204" s="613" t="s">
        <v>185</v>
      </c>
      <c r="D204" s="613"/>
      <c r="E204" s="341">
        <v>0</v>
      </c>
      <c r="F204" s="341"/>
      <c r="G204" s="345">
        <v>0</v>
      </c>
      <c r="H204" s="346"/>
      <c r="I204" s="337"/>
    </row>
    <row r="205" spans="1:13" ht="12" customHeight="1">
      <c r="A205" s="366" t="s">
        <v>230</v>
      </c>
      <c r="B205" s="367"/>
      <c r="C205" s="356" t="s">
        <v>186</v>
      </c>
      <c r="D205" s="356"/>
      <c r="E205" s="351">
        <f>I180</f>
        <v>2558.8199999999997</v>
      </c>
      <c r="F205" s="352"/>
      <c r="G205" s="357">
        <f>ROUND((1/600)*E205,2)</f>
        <v>4.26</v>
      </c>
      <c r="H205" s="358"/>
      <c r="I205" s="340"/>
    </row>
    <row r="206" spans="1:13" ht="12" customHeight="1">
      <c r="A206" s="370" t="s">
        <v>134</v>
      </c>
      <c r="B206" s="371"/>
      <c r="C206" s="372"/>
      <c r="D206" s="372"/>
      <c r="E206" s="372"/>
      <c r="F206" s="373"/>
      <c r="G206" s="357">
        <f>SUM(G204+G205)</f>
        <v>4.26</v>
      </c>
      <c r="H206" s="358"/>
      <c r="I206" s="340"/>
    </row>
    <row r="207" spans="1:13" ht="6.75" customHeight="1">
      <c r="A207" s="464"/>
      <c r="B207" s="465"/>
      <c r="C207" s="466"/>
      <c r="D207" s="466"/>
      <c r="E207" s="466"/>
      <c r="F207" s="466"/>
      <c r="G207" s="466"/>
      <c r="H207" s="466"/>
      <c r="I207" s="467"/>
    </row>
    <row r="208" spans="1:13" ht="12" customHeight="1">
      <c r="A208" s="595" t="s">
        <v>231</v>
      </c>
      <c r="B208" s="596"/>
      <c r="C208" s="353" t="s">
        <v>185</v>
      </c>
      <c r="D208" s="353"/>
      <c r="E208" s="344">
        <v>0</v>
      </c>
      <c r="F208" s="344"/>
      <c r="G208" s="345">
        <v>0</v>
      </c>
      <c r="H208" s="346"/>
      <c r="I208" s="337"/>
    </row>
    <row r="209" spans="1:256" ht="12.75">
      <c r="A209" s="366" t="s">
        <v>232</v>
      </c>
      <c r="B209" s="367"/>
      <c r="C209" s="356" t="s">
        <v>186</v>
      </c>
      <c r="D209" s="356"/>
      <c r="E209" s="341">
        <f>I180</f>
        <v>2558.8199999999997</v>
      </c>
      <c r="F209" s="341"/>
      <c r="G209" s="591">
        <f>ROUND((1/600)*E209,2)</f>
        <v>4.26</v>
      </c>
      <c r="H209" s="592"/>
      <c r="I209" s="337"/>
    </row>
    <row r="210" spans="1:256" ht="12.75">
      <c r="A210" s="362" t="s">
        <v>134</v>
      </c>
      <c r="B210" s="363"/>
      <c r="C210" s="364"/>
      <c r="D210" s="364"/>
      <c r="E210" s="364"/>
      <c r="F210" s="365"/>
      <c r="G210" s="357">
        <f>SUM(G208+G209)</f>
        <v>4.26</v>
      </c>
      <c r="H210" s="358"/>
      <c r="I210" s="340"/>
    </row>
    <row r="211" spans="1:256" ht="6.75" customHeight="1">
      <c r="A211" s="464"/>
      <c r="B211" s="465"/>
      <c r="C211" s="407"/>
      <c r="D211" s="407"/>
      <c r="E211" s="407"/>
      <c r="F211" s="407"/>
      <c r="G211" s="407"/>
      <c r="H211" s="407"/>
      <c r="I211" s="467"/>
      <c r="K211" s="8"/>
    </row>
    <row r="212" spans="1:256" ht="12.75">
      <c r="A212" s="355" t="s">
        <v>245</v>
      </c>
      <c r="B212" s="355"/>
      <c r="C212" s="353" t="s">
        <v>311</v>
      </c>
      <c r="D212" s="353"/>
      <c r="E212" s="588">
        <v>0</v>
      </c>
      <c r="F212" s="588"/>
      <c r="G212" s="345">
        <v>0</v>
      </c>
      <c r="H212" s="346"/>
      <c r="I212" s="337"/>
    </row>
    <row r="213" spans="1:256" ht="12.75">
      <c r="A213" s="368" t="s">
        <v>233</v>
      </c>
      <c r="B213" s="368"/>
      <c r="C213" s="356" t="s">
        <v>187</v>
      </c>
      <c r="D213" s="356"/>
      <c r="E213" s="342">
        <v>0</v>
      </c>
      <c r="F213" s="343"/>
      <c r="G213" s="345">
        <v>0</v>
      </c>
      <c r="H213" s="359"/>
      <c r="I213" s="337"/>
    </row>
    <row r="214" spans="1:256" ht="12.75">
      <c r="A214" s="362" t="s">
        <v>134</v>
      </c>
      <c r="B214" s="363"/>
      <c r="C214" s="364"/>
      <c r="D214" s="364"/>
      <c r="E214" s="364"/>
      <c r="F214" s="365"/>
      <c r="G214" s="357">
        <f>SUM(G212+G213)</f>
        <v>0</v>
      </c>
      <c r="H214" s="358"/>
      <c r="I214" s="340"/>
    </row>
    <row r="215" spans="1:256" ht="6" customHeight="1">
      <c r="A215" s="464"/>
      <c r="B215" s="465"/>
      <c r="C215" s="407"/>
      <c r="D215" s="407"/>
      <c r="E215" s="407"/>
      <c r="F215" s="407"/>
      <c r="G215" s="407"/>
      <c r="H215" s="407"/>
      <c r="I215" s="467"/>
    </row>
    <row r="216" spans="1:256" ht="13.5" customHeight="1">
      <c r="A216" s="354" t="s">
        <v>246</v>
      </c>
      <c r="B216" s="355"/>
      <c r="C216" s="353" t="s">
        <v>188</v>
      </c>
      <c r="D216" s="353"/>
      <c r="E216" s="344">
        <v>0</v>
      </c>
      <c r="F216" s="344"/>
      <c r="G216" s="356">
        <v>0</v>
      </c>
      <c r="H216" s="356"/>
      <c r="I216" s="397"/>
      <c r="J216" s="454"/>
      <c r="K216" s="454"/>
      <c r="L216" s="454"/>
      <c r="M216" s="454"/>
      <c r="N216" s="454"/>
      <c r="O216" s="454"/>
      <c r="P216" s="454"/>
      <c r="Q216" s="410" t="s">
        <v>165</v>
      </c>
      <c r="R216" s="410"/>
      <c r="S216" s="410"/>
      <c r="T216" s="410"/>
      <c r="U216" s="410"/>
      <c r="V216" s="410"/>
      <c r="W216" s="410"/>
      <c r="X216" s="410"/>
      <c r="Y216" s="410" t="s">
        <v>165</v>
      </c>
      <c r="Z216" s="410"/>
      <c r="AA216" s="410"/>
      <c r="AB216" s="410"/>
      <c r="AC216" s="410"/>
      <c r="AD216" s="410"/>
      <c r="AE216" s="410"/>
      <c r="AF216" s="410"/>
      <c r="AG216" s="410" t="s">
        <v>165</v>
      </c>
      <c r="AH216" s="410"/>
      <c r="AI216" s="410"/>
      <c r="AJ216" s="410"/>
      <c r="AK216" s="410"/>
      <c r="AL216" s="410"/>
      <c r="AM216" s="410"/>
      <c r="AN216" s="410"/>
      <c r="AO216" s="410" t="s">
        <v>165</v>
      </c>
      <c r="AP216" s="410"/>
      <c r="AQ216" s="410"/>
      <c r="AR216" s="410"/>
      <c r="AS216" s="410"/>
      <c r="AT216" s="410"/>
      <c r="AU216" s="410"/>
      <c r="AV216" s="410"/>
      <c r="AW216" s="410" t="s">
        <v>165</v>
      </c>
      <c r="AX216" s="410"/>
      <c r="AY216" s="410"/>
      <c r="AZ216" s="410"/>
      <c r="BA216" s="410"/>
      <c r="BB216" s="410"/>
      <c r="BC216" s="410"/>
      <c r="BD216" s="410"/>
      <c r="BE216" s="410" t="s">
        <v>165</v>
      </c>
      <c r="BF216" s="410"/>
      <c r="BG216" s="410"/>
      <c r="BH216" s="410"/>
      <c r="BI216" s="410"/>
      <c r="BJ216" s="410"/>
      <c r="BK216" s="410"/>
      <c r="BL216" s="410"/>
      <c r="BM216" s="410" t="s">
        <v>165</v>
      </c>
      <c r="BN216" s="410"/>
      <c r="BO216" s="410"/>
      <c r="BP216" s="410"/>
      <c r="BQ216" s="410"/>
      <c r="BR216" s="410"/>
      <c r="BS216" s="410"/>
      <c r="BT216" s="410"/>
      <c r="BU216" s="410" t="s">
        <v>165</v>
      </c>
      <c r="BV216" s="410"/>
      <c r="BW216" s="410"/>
      <c r="BX216" s="410"/>
      <c r="BY216" s="413"/>
      <c r="BZ216" s="414"/>
      <c r="CA216" s="414"/>
      <c r="CB216" s="414"/>
      <c r="CC216" s="410" t="s">
        <v>165</v>
      </c>
      <c r="CD216" s="410"/>
      <c r="CE216" s="410"/>
      <c r="CF216" s="410"/>
      <c r="CG216" s="410"/>
      <c r="CH216" s="410"/>
      <c r="CI216" s="410"/>
      <c r="CJ216" s="410"/>
      <c r="CK216" s="410" t="s">
        <v>165</v>
      </c>
      <c r="CL216" s="410"/>
      <c r="CM216" s="410"/>
      <c r="CN216" s="410"/>
      <c r="CO216" s="410"/>
      <c r="CP216" s="410"/>
      <c r="CQ216" s="410"/>
      <c r="CR216" s="410"/>
      <c r="CS216" s="410" t="s">
        <v>165</v>
      </c>
      <c r="CT216" s="410"/>
      <c r="CU216" s="410"/>
      <c r="CV216" s="410"/>
      <c r="CW216" s="410"/>
      <c r="CX216" s="410"/>
      <c r="CY216" s="410"/>
      <c r="CZ216" s="410"/>
      <c r="DA216" s="410" t="s">
        <v>165</v>
      </c>
      <c r="DB216" s="410"/>
      <c r="DC216" s="410"/>
      <c r="DD216" s="410"/>
      <c r="DE216" s="410"/>
      <c r="DF216" s="410"/>
      <c r="DG216" s="410"/>
      <c r="DH216" s="410"/>
      <c r="DI216" s="410" t="s">
        <v>165</v>
      </c>
      <c r="DJ216" s="410"/>
      <c r="DK216" s="410"/>
      <c r="DL216" s="410"/>
      <c r="DM216" s="410"/>
      <c r="DN216" s="410"/>
      <c r="DO216" s="410"/>
      <c r="DP216" s="410"/>
      <c r="DQ216" s="410" t="s">
        <v>165</v>
      </c>
      <c r="DR216" s="410"/>
      <c r="DS216" s="410"/>
      <c r="DT216" s="410"/>
      <c r="DU216" s="410"/>
      <c r="DV216" s="410"/>
      <c r="DW216" s="410"/>
      <c r="DX216" s="410"/>
      <c r="DY216" s="410" t="s">
        <v>165</v>
      </c>
      <c r="DZ216" s="410"/>
      <c r="EA216" s="410"/>
      <c r="EB216" s="410"/>
      <c r="EC216" s="410"/>
      <c r="ED216" s="410"/>
      <c r="EE216" s="410"/>
      <c r="EF216" s="410"/>
      <c r="EG216" s="410" t="s">
        <v>165</v>
      </c>
      <c r="EH216" s="410"/>
      <c r="EI216" s="410"/>
      <c r="EJ216" s="410"/>
      <c r="EK216" s="410"/>
      <c r="EL216" s="410"/>
      <c r="EM216" s="410"/>
      <c r="EN216" s="410"/>
      <c r="EO216" s="410" t="s">
        <v>165</v>
      </c>
      <c r="EP216" s="410"/>
      <c r="EQ216" s="410"/>
      <c r="ER216" s="410"/>
      <c r="ES216" s="410"/>
      <c r="ET216" s="410"/>
      <c r="EU216" s="410"/>
      <c r="EV216" s="410"/>
      <c r="EW216" s="410" t="s">
        <v>165</v>
      </c>
      <c r="EX216" s="410"/>
      <c r="EY216" s="410"/>
      <c r="EZ216" s="410"/>
      <c r="FA216" s="410"/>
      <c r="FB216" s="410"/>
      <c r="FC216" s="410"/>
      <c r="FD216" s="410"/>
      <c r="FE216" s="410" t="s">
        <v>165</v>
      </c>
      <c r="FF216" s="410"/>
      <c r="FG216" s="410"/>
      <c r="FH216" s="410"/>
      <c r="FI216" s="410"/>
      <c r="FJ216" s="410"/>
      <c r="FK216" s="410"/>
      <c r="FL216" s="410"/>
      <c r="FM216" s="410" t="s">
        <v>165</v>
      </c>
      <c r="FN216" s="410"/>
      <c r="FO216" s="410"/>
      <c r="FP216" s="410"/>
      <c r="FQ216" s="410"/>
      <c r="FR216" s="410"/>
      <c r="FS216" s="410"/>
      <c r="FT216" s="410"/>
      <c r="FU216" s="410" t="s">
        <v>165</v>
      </c>
      <c r="FV216" s="410"/>
      <c r="FW216" s="410"/>
      <c r="FX216" s="410"/>
      <c r="FY216" s="410"/>
      <c r="FZ216" s="410"/>
      <c r="GA216" s="410"/>
      <c r="GB216" s="410"/>
      <c r="GC216" s="410" t="s">
        <v>165</v>
      </c>
      <c r="GD216" s="410"/>
      <c r="GE216" s="410"/>
      <c r="GF216" s="410"/>
      <c r="GG216" s="410"/>
      <c r="GH216" s="410"/>
      <c r="GI216" s="410"/>
      <c r="GJ216" s="410"/>
      <c r="GK216" s="410" t="s">
        <v>165</v>
      </c>
      <c r="GL216" s="410"/>
      <c r="GM216" s="410"/>
      <c r="GN216" s="410"/>
      <c r="GO216" s="410"/>
      <c r="GP216" s="410"/>
      <c r="GQ216" s="410"/>
      <c r="GR216" s="410"/>
      <c r="GS216" s="410" t="s">
        <v>165</v>
      </c>
      <c r="GT216" s="410"/>
      <c r="GU216" s="410"/>
      <c r="GV216" s="410"/>
      <c r="GW216" s="410"/>
      <c r="GX216" s="410"/>
      <c r="GY216" s="410"/>
      <c r="GZ216" s="410"/>
      <c r="HA216" s="410" t="s">
        <v>165</v>
      </c>
      <c r="HB216" s="410"/>
      <c r="HC216" s="410"/>
      <c r="HD216" s="410"/>
      <c r="HE216" s="410"/>
      <c r="HF216" s="410"/>
      <c r="HG216" s="410"/>
      <c r="HH216" s="410"/>
      <c r="HI216" s="410" t="s">
        <v>165</v>
      </c>
      <c r="HJ216" s="410"/>
      <c r="HK216" s="410"/>
      <c r="HL216" s="410"/>
      <c r="HM216" s="410"/>
      <c r="HN216" s="410"/>
      <c r="HO216" s="410"/>
      <c r="HP216" s="410"/>
      <c r="HQ216" s="410" t="s">
        <v>165</v>
      </c>
      <c r="HR216" s="410"/>
      <c r="HS216" s="410"/>
      <c r="HT216" s="410"/>
      <c r="HU216" s="410"/>
      <c r="HV216" s="410"/>
      <c r="HW216" s="410"/>
      <c r="HX216" s="410"/>
      <c r="HY216" s="410" t="s">
        <v>165</v>
      </c>
      <c r="HZ216" s="410"/>
      <c r="IA216" s="410"/>
      <c r="IB216" s="410"/>
      <c r="IC216" s="410"/>
      <c r="ID216" s="410"/>
      <c r="IE216" s="410"/>
      <c r="IF216" s="410"/>
      <c r="IG216" s="410" t="s">
        <v>165</v>
      </c>
      <c r="IH216" s="410"/>
      <c r="II216" s="410"/>
      <c r="IJ216" s="410"/>
      <c r="IK216" s="410"/>
      <c r="IL216" s="410"/>
      <c r="IM216" s="410"/>
      <c r="IN216" s="410"/>
      <c r="IO216" s="410" t="s">
        <v>165</v>
      </c>
      <c r="IP216" s="410"/>
      <c r="IQ216" s="410"/>
      <c r="IR216" s="410"/>
      <c r="IS216" s="410"/>
      <c r="IT216" s="410"/>
      <c r="IU216" s="410"/>
      <c r="IV216" s="410"/>
    </row>
    <row r="217" spans="1:256" ht="13.5" customHeight="1">
      <c r="A217" s="432" t="s">
        <v>319</v>
      </c>
      <c r="B217" s="433"/>
      <c r="C217" s="356" t="s">
        <v>189</v>
      </c>
      <c r="D217" s="356"/>
      <c r="E217" s="351">
        <f>I180</f>
        <v>2558.8199999999997</v>
      </c>
      <c r="F217" s="352"/>
      <c r="G217" s="356">
        <f>ROUND((1/1350)*E217,2)</f>
        <v>1.9</v>
      </c>
      <c r="H217" s="468"/>
      <c r="I217" s="397"/>
      <c r="J217" s="455"/>
      <c r="K217" s="455"/>
      <c r="L217" s="456"/>
      <c r="M217" s="457"/>
      <c r="N217" s="457"/>
      <c r="O217" s="457"/>
      <c r="P217" s="457"/>
      <c r="Q217" s="417" t="s">
        <v>164</v>
      </c>
      <c r="R217" s="411"/>
      <c r="S217" s="411"/>
      <c r="T217" s="412" t="s">
        <v>160</v>
      </c>
      <c r="U217" s="413"/>
      <c r="V217" s="414"/>
      <c r="W217" s="414"/>
      <c r="X217" s="414"/>
      <c r="Y217" s="411" t="s">
        <v>164</v>
      </c>
      <c r="Z217" s="411"/>
      <c r="AA217" s="411"/>
      <c r="AB217" s="412" t="s">
        <v>160</v>
      </c>
      <c r="AC217" s="413"/>
      <c r="AD217" s="414"/>
      <c r="AE217" s="414"/>
      <c r="AF217" s="414"/>
      <c r="AG217" s="411" t="s">
        <v>164</v>
      </c>
      <c r="AH217" s="411"/>
      <c r="AI217" s="411"/>
      <c r="AJ217" s="412" t="s">
        <v>160</v>
      </c>
      <c r="AK217" s="413"/>
      <c r="AL217" s="414"/>
      <c r="AM217" s="414"/>
      <c r="AN217" s="414"/>
      <c r="AO217" s="411" t="s">
        <v>164</v>
      </c>
      <c r="AP217" s="411"/>
      <c r="AQ217" s="411"/>
      <c r="AR217" s="412" t="s">
        <v>160</v>
      </c>
      <c r="AS217" s="413"/>
      <c r="AT217" s="414"/>
      <c r="AU217" s="414"/>
      <c r="AV217" s="414"/>
      <c r="AW217" s="411" t="s">
        <v>164</v>
      </c>
      <c r="AX217" s="411"/>
      <c r="AY217" s="411"/>
      <c r="AZ217" s="412" t="s">
        <v>160</v>
      </c>
      <c r="BA217" s="413"/>
      <c r="BB217" s="414"/>
      <c r="BC217" s="414"/>
      <c r="BD217" s="414"/>
      <c r="BE217" s="411" t="s">
        <v>164</v>
      </c>
      <c r="BF217" s="411"/>
      <c r="BG217" s="411"/>
      <c r="BH217" s="412" t="s">
        <v>160</v>
      </c>
      <c r="BI217" s="413"/>
      <c r="BJ217" s="414"/>
      <c r="BK217" s="414"/>
      <c r="BL217" s="414"/>
      <c r="BM217" s="411" t="s">
        <v>164</v>
      </c>
      <c r="BN217" s="411"/>
      <c r="BO217" s="411"/>
      <c r="BP217" s="412" t="s">
        <v>160</v>
      </c>
      <c r="BQ217" s="413"/>
      <c r="BR217" s="414"/>
      <c r="BS217" s="414"/>
      <c r="BT217" s="414"/>
      <c r="BU217" s="411" t="s">
        <v>164</v>
      </c>
      <c r="BV217" s="411"/>
      <c r="BW217" s="411"/>
      <c r="BX217" s="412" t="s">
        <v>160</v>
      </c>
      <c r="BY217" s="413"/>
      <c r="BZ217" s="414"/>
      <c r="CA217" s="414"/>
      <c r="CB217" s="414"/>
      <c r="CC217" s="411" t="s">
        <v>164</v>
      </c>
      <c r="CD217" s="411"/>
      <c r="CE217" s="411"/>
      <c r="CF217" s="412" t="s">
        <v>160</v>
      </c>
      <c r="CG217" s="413"/>
      <c r="CH217" s="414"/>
      <c r="CI217" s="414"/>
      <c r="CJ217" s="414"/>
      <c r="CK217" s="411" t="s">
        <v>164</v>
      </c>
      <c r="CL217" s="411"/>
      <c r="CM217" s="411"/>
      <c r="CN217" s="412" t="s">
        <v>160</v>
      </c>
      <c r="CO217" s="413"/>
      <c r="CP217" s="414"/>
      <c r="CQ217" s="414"/>
      <c r="CR217" s="414"/>
      <c r="CS217" s="411" t="s">
        <v>164</v>
      </c>
      <c r="CT217" s="411"/>
      <c r="CU217" s="411"/>
      <c r="CV217" s="412" t="s">
        <v>160</v>
      </c>
      <c r="CW217" s="413"/>
      <c r="CX217" s="414"/>
      <c r="CY217" s="414"/>
      <c r="CZ217" s="414"/>
      <c r="DA217" s="411" t="s">
        <v>164</v>
      </c>
      <c r="DB217" s="411"/>
      <c r="DC217" s="411"/>
      <c r="DD217" s="412" t="s">
        <v>160</v>
      </c>
      <c r="DE217" s="413"/>
      <c r="DF217" s="414"/>
      <c r="DG217" s="414"/>
      <c r="DH217" s="414"/>
      <c r="DI217" s="411" t="s">
        <v>164</v>
      </c>
      <c r="DJ217" s="411"/>
      <c r="DK217" s="411"/>
      <c r="DL217" s="412" t="s">
        <v>160</v>
      </c>
      <c r="DM217" s="413"/>
      <c r="DN217" s="414"/>
      <c r="DO217" s="414"/>
      <c r="DP217" s="414"/>
      <c r="DQ217" s="411" t="s">
        <v>164</v>
      </c>
      <c r="DR217" s="411"/>
      <c r="DS217" s="411"/>
      <c r="DT217" s="412" t="s">
        <v>160</v>
      </c>
      <c r="DU217" s="413"/>
      <c r="DV217" s="414"/>
      <c r="DW217" s="414"/>
      <c r="DX217" s="414"/>
      <c r="DY217" s="411" t="s">
        <v>164</v>
      </c>
      <c r="DZ217" s="411"/>
      <c r="EA217" s="411"/>
      <c r="EB217" s="412" t="s">
        <v>160</v>
      </c>
      <c r="EC217" s="413"/>
      <c r="ED217" s="414"/>
      <c r="EE217" s="414"/>
      <c r="EF217" s="414"/>
      <c r="EG217" s="411" t="s">
        <v>164</v>
      </c>
      <c r="EH217" s="411"/>
      <c r="EI217" s="411"/>
      <c r="EJ217" s="412" t="s">
        <v>160</v>
      </c>
      <c r="EK217" s="413"/>
      <c r="EL217" s="414"/>
      <c r="EM217" s="414"/>
      <c r="EN217" s="414"/>
      <c r="EO217" s="411" t="s">
        <v>164</v>
      </c>
      <c r="EP217" s="411"/>
      <c r="EQ217" s="411"/>
      <c r="ER217" s="412" t="s">
        <v>160</v>
      </c>
      <c r="ES217" s="413"/>
      <c r="ET217" s="414"/>
      <c r="EU217" s="414"/>
      <c r="EV217" s="414"/>
      <c r="EW217" s="411" t="s">
        <v>164</v>
      </c>
      <c r="EX217" s="411"/>
      <c r="EY217" s="411"/>
      <c r="EZ217" s="412" t="s">
        <v>160</v>
      </c>
      <c r="FA217" s="413"/>
      <c r="FB217" s="414"/>
      <c r="FC217" s="414"/>
      <c r="FD217" s="414"/>
      <c r="FE217" s="411" t="s">
        <v>164</v>
      </c>
      <c r="FF217" s="411"/>
      <c r="FG217" s="411"/>
      <c r="FH217" s="412" t="s">
        <v>160</v>
      </c>
      <c r="FI217" s="413"/>
      <c r="FJ217" s="414"/>
      <c r="FK217" s="414"/>
      <c r="FL217" s="414"/>
      <c r="FM217" s="411" t="s">
        <v>164</v>
      </c>
      <c r="FN217" s="411"/>
      <c r="FO217" s="411"/>
      <c r="FP217" s="412" t="s">
        <v>160</v>
      </c>
      <c r="FQ217" s="413"/>
      <c r="FR217" s="414"/>
      <c r="FS217" s="414"/>
      <c r="FT217" s="414"/>
      <c r="FU217" s="411" t="s">
        <v>164</v>
      </c>
      <c r="FV217" s="411"/>
      <c r="FW217" s="411"/>
      <c r="FX217" s="412" t="s">
        <v>160</v>
      </c>
      <c r="FY217" s="413"/>
      <c r="FZ217" s="414"/>
      <c r="GA217" s="414"/>
      <c r="GB217" s="414"/>
      <c r="GC217" s="411" t="s">
        <v>164</v>
      </c>
      <c r="GD217" s="411"/>
      <c r="GE217" s="411"/>
      <c r="GF217" s="412" t="s">
        <v>160</v>
      </c>
      <c r="GG217" s="413"/>
      <c r="GH217" s="414"/>
      <c r="GI217" s="414"/>
      <c r="GJ217" s="414"/>
      <c r="GK217" s="411" t="s">
        <v>164</v>
      </c>
      <c r="GL217" s="411"/>
      <c r="GM217" s="411"/>
      <c r="GN217" s="412" t="s">
        <v>160</v>
      </c>
      <c r="GO217" s="413"/>
      <c r="GP217" s="414"/>
      <c r="GQ217" s="414"/>
      <c r="GR217" s="414"/>
      <c r="GS217" s="411" t="s">
        <v>164</v>
      </c>
      <c r="GT217" s="411"/>
      <c r="GU217" s="411"/>
      <c r="GV217" s="412" t="s">
        <v>160</v>
      </c>
      <c r="GW217" s="413"/>
      <c r="GX217" s="414"/>
      <c r="GY217" s="414"/>
      <c r="GZ217" s="414"/>
      <c r="HA217" s="411" t="s">
        <v>164</v>
      </c>
      <c r="HB217" s="411"/>
      <c r="HC217" s="411"/>
      <c r="HD217" s="412" t="s">
        <v>160</v>
      </c>
      <c r="HE217" s="413"/>
      <c r="HF217" s="414"/>
      <c r="HG217" s="414"/>
      <c r="HH217" s="414"/>
      <c r="HI217" s="411" t="s">
        <v>164</v>
      </c>
      <c r="HJ217" s="411"/>
      <c r="HK217" s="411"/>
      <c r="HL217" s="412" t="s">
        <v>160</v>
      </c>
      <c r="HM217" s="413"/>
      <c r="HN217" s="414"/>
      <c r="HO217" s="414"/>
      <c r="HP217" s="414"/>
      <c r="HQ217" s="411" t="s">
        <v>164</v>
      </c>
      <c r="HR217" s="411"/>
      <c r="HS217" s="411"/>
      <c r="HT217" s="412" t="s">
        <v>160</v>
      </c>
      <c r="HU217" s="413"/>
      <c r="HV217" s="414"/>
      <c r="HW217" s="414"/>
      <c r="HX217" s="414"/>
      <c r="HY217" s="411" t="s">
        <v>164</v>
      </c>
      <c r="HZ217" s="411"/>
      <c r="IA217" s="411"/>
      <c r="IB217" s="412" t="s">
        <v>160</v>
      </c>
      <c r="IC217" s="413"/>
      <c r="ID217" s="414"/>
      <c r="IE217" s="414"/>
      <c r="IF217" s="414"/>
      <c r="IG217" s="411" t="s">
        <v>164</v>
      </c>
      <c r="IH217" s="411"/>
      <c r="II217" s="411"/>
      <c r="IJ217" s="412" t="s">
        <v>160</v>
      </c>
      <c r="IK217" s="413"/>
      <c r="IL217" s="414"/>
      <c r="IM217" s="414"/>
      <c r="IN217" s="414"/>
      <c r="IO217" s="411" t="s">
        <v>164</v>
      </c>
      <c r="IP217" s="411"/>
      <c r="IQ217" s="411"/>
      <c r="IR217" s="412" t="s">
        <v>160</v>
      </c>
      <c r="IS217" s="413"/>
      <c r="IT217" s="414"/>
      <c r="IU217" s="414"/>
      <c r="IV217" s="414"/>
    </row>
    <row r="218" spans="1:256" ht="13.5" customHeight="1">
      <c r="A218" s="362" t="s">
        <v>134</v>
      </c>
      <c r="B218" s="363"/>
      <c r="C218" s="364"/>
      <c r="D218" s="364"/>
      <c r="E218" s="364"/>
      <c r="F218" s="365"/>
      <c r="G218" s="469">
        <f>SUM(G216+G217)</f>
        <v>1.9</v>
      </c>
      <c r="H218" s="470"/>
      <c r="I218" s="471"/>
      <c r="J218" s="455"/>
      <c r="K218" s="455"/>
      <c r="L218" s="456"/>
      <c r="M218" s="457"/>
      <c r="N218" s="457"/>
      <c r="O218" s="457"/>
      <c r="P218" s="457"/>
      <c r="Q218" s="416"/>
      <c r="R218" s="416"/>
      <c r="S218" s="417"/>
      <c r="T218" s="412"/>
      <c r="U218" s="413"/>
      <c r="V218" s="414"/>
      <c r="W218" s="414"/>
      <c r="X218" s="414"/>
      <c r="Y218" s="415"/>
      <c r="Z218" s="416"/>
      <c r="AA218" s="417"/>
      <c r="AB218" s="412"/>
      <c r="AC218" s="413"/>
      <c r="AD218" s="414"/>
      <c r="AE218" s="414"/>
      <c r="AF218" s="414"/>
      <c r="AG218" s="415"/>
      <c r="AH218" s="416"/>
      <c r="AI218" s="417"/>
      <c r="AJ218" s="412"/>
      <c r="AK218" s="413"/>
      <c r="AL218" s="414"/>
      <c r="AM218" s="414"/>
      <c r="AN218" s="414"/>
      <c r="AO218" s="415"/>
      <c r="AP218" s="416"/>
      <c r="AQ218" s="417"/>
      <c r="AR218" s="412"/>
      <c r="AS218" s="413"/>
      <c r="AT218" s="414"/>
      <c r="AU218" s="414"/>
      <c r="AV218" s="414"/>
      <c r="AW218" s="415"/>
      <c r="AX218" s="416"/>
      <c r="AY218" s="417"/>
      <c r="AZ218" s="412"/>
      <c r="BA218" s="413"/>
      <c r="BB218" s="414"/>
      <c r="BC218" s="414"/>
      <c r="BD218" s="414"/>
      <c r="BE218" s="415"/>
      <c r="BF218" s="416"/>
      <c r="BG218" s="417"/>
      <c r="BH218" s="412"/>
      <c r="BI218" s="413"/>
      <c r="BJ218" s="414"/>
      <c r="BK218" s="414"/>
      <c r="BL218" s="414"/>
      <c r="BM218" s="415"/>
      <c r="BN218" s="416"/>
      <c r="BO218" s="417"/>
      <c r="BP218" s="412"/>
      <c r="BQ218" s="413"/>
      <c r="BR218" s="414"/>
      <c r="BS218" s="414"/>
      <c r="BT218" s="414"/>
      <c r="BU218" s="415"/>
      <c r="BV218" s="416"/>
      <c r="BW218" s="417"/>
      <c r="BX218" s="412"/>
      <c r="BY218" s="413"/>
      <c r="BZ218" s="414"/>
      <c r="CA218" s="414"/>
      <c r="CB218" s="414"/>
      <c r="CC218" s="415"/>
      <c r="CD218" s="416"/>
      <c r="CE218" s="417"/>
      <c r="CF218" s="412"/>
      <c r="CG218" s="413"/>
      <c r="CH218" s="414"/>
      <c r="CI218" s="414"/>
      <c r="CJ218" s="414"/>
      <c r="CK218" s="415"/>
      <c r="CL218" s="416"/>
      <c r="CM218" s="417"/>
      <c r="CN218" s="412"/>
      <c r="CO218" s="413"/>
      <c r="CP218" s="414"/>
      <c r="CQ218" s="414"/>
      <c r="CR218" s="414"/>
      <c r="CS218" s="415"/>
      <c r="CT218" s="416"/>
      <c r="CU218" s="417"/>
      <c r="CV218" s="412"/>
      <c r="CW218" s="413"/>
      <c r="CX218" s="414"/>
      <c r="CY218" s="414"/>
      <c r="CZ218" s="414"/>
      <c r="DA218" s="415"/>
      <c r="DB218" s="416"/>
      <c r="DC218" s="417"/>
      <c r="DD218" s="412"/>
      <c r="DE218" s="413"/>
      <c r="DF218" s="414"/>
      <c r="DG218" s="414"/>
      <c r="DH218" s="414"/>
      <c r="DI218" s="415"/>
      <c r="DJ218" s="416"/>
      <c r="DK218" s="417"/>
      <c r="DL218" s="412"/>
      <c r="DM218" s="413"/>
      <c r="DN218" s="414"/>
      <c r="DO218" s="414"/>
      <c r="DP218" s="414"/>
      <c r="DQ218" s="415"/>
      <c r="DR218" s="416"/>
      <c r="DS218" s="417"/>
      <c r="DT218" s="412"/>
      <c r="DU218" s="413"/>
      <c r="DV218" s="414"/>
      <c r="DW218" s="414"/>
      <c r="DX218" s="414"/>
      <c r="DY218" s="415"/>
      <c r="DZ218" s="416"/>
      <c r="EA218" s="417"/>
      <c r="EB218" s="412"/>
      <c r="EC218" s="413"/>
      <c r="ED218" s="414"/>
      <c r="EE218" s="414"/>
      <c r="EF218" s="414"/>
      <c r="EG218" s="415"/>
      <c r="EH218" s="416"/>
      <c r="EI218" s="417"/>
      <c r="EJ218" s="412"/>
      <c r="EK218" s="413"/>
      <c r="EL218" s="414"/>
      <c r="EM218" s="414"/>
      <c r="EN218" s="414"/>
      <c r="EO218" s="415"/>
      <c r="EP218" s="416"/>
      <c r="EQ218" s="417"/>
      <c r="ER218" s="412"/>
      <c r="ES218" s="413"/>
      <c r="ET218" s="414"/>
      <c r="EU218" s="414"/>
      <c r="EV218" s="414"/>
      <c r="EW218" s="415"/>
      <c r="EX218" s="416"/>
      <c r="EY218" s="417"/>
      <c r="EZ218" s="412"/>
      <c r="FA218" s="413"/>
      <c r="FB218" s="414"/>
      <c r="FC218" s="414"/>
      <c r="FD218" s="414"/>
      <c r="FE218" s="415"/>
      <c r="FF218" s="416"/>
      <c r="FG218" s="417"/>
      <c r="FH218" s="412"/>
      <c r="FI218" s="413"/>
      <c r="FJ218" s="414"/>
      <c r="FK218" s="414"/>
      <c r="FL218" s="414"/>
      <c r="FM218" s="415"/>
      <c r="FN218" s="416"/>
      <c r="FO218" s="417"/>
      <c r="FP218" s="412"/>
      <c r="FQ218" s="413"/>
      <c r="FR218" s="414"/>
      <c r="FS218" s="414"/>
      <c r="FT218" s="414"/>
      <c r="FU218" s="415"/>
      <c r="FV218" s="416"/>
      <c r="FW218" s="417"/>
      <c r="FX218" s="412"/>
      <c r="FY218" s="413"/>
      <c r="FZ218" s="414"/>
      <c r="GA218" s="414"/>
      <c r="GB218" s="414"/>
      <c r="GC218" s="415"/>
      <c r="GD218" s="416"/>
      <c r="GE218" s="417"/>
      <c r="GF218" s="412"/>
      <c r="GG218" s="413"/>
      <c r="GH218" s="414"/>
      <c r="GI218" s="414"/>
      <c r="GJ218" s="414"/>
      <c r="GK218" s="415"/>
      <c r="GL218" s="416"/>
      <c r="GM218" s="417"/>
      <c r="GN218" s="412"/>
      <c r="GO218" s="413"/>
      <c r="GP218" s="414"/>
      <c r="GQ218" s="414"/>
      <c r="GR218" s="414"/>
      <c r="GS218" s="415"/>
      <c r="GT218" s="416"/>
      <c r="GU218" s="417"/>
      <c r="GV218" s="412"/>
      <c r="GW218" s="413"/>
      <c r="GX218" s="414"/>
      <c r="GY218" s="414"/>
      <c r="GZ218" s="414"/>
      <c r="HA218" s="415"/>
      <c r="HB218" s="416"/>
      <c r="HC218" s="417"/>
      <c r="HD218" s="412"/>
      <c r="HE218" s="413"/>
      <c r="HF218" s="414"/>
      <c r="HG218" s="414"/>
      <c r="HH218" s="414"/>
      <c r="HI218" s="415"/>
      <c r="HJ218" s="416"/>
      <c r="HK218" s="417"/>
      <c r="HL218" s="412"/>
      <c r="HM218" s="413"/>
      <c r="HN218" s="414"/>
      <c r="HO218" s="414"/>
      <c r="HP218" s="414"/>
      <c r="HQ218" s="415"/>
      <c r="HR218" s="416"/>
      <c r="HS218" s="417"/>
      <c r="HT218" s="412"/>
      <c r="HU218" s="413"/>
      <c r="HV218" s="414"/>
      <c r="HW218" s="414"/>
      <c r="HX218" s="414"/>
      <c r="HY218" s="415"/>
      <c r="HZ218" s="416"/>
      <c r="IA218" s="417"/>
      <c r="IB218" s="412"/>
      <c r="IC218" s="413"/>
      <c r="ID218" s="414"/>
      <c r="IE218" s="414"/>
      <c r="IF218" s="414"/>
      <c r="IG218" s="415"/>
      <c r="IH218" s="416"/>
      <c r="II218" s="417"/>
      <c r="IJ218" s="412"/>
      <c r="IK218" s="413"/>
      <c r="IL218" s="414"/>
      <c r="IM218" s="414"/>
      <c r="IN218" s="414"/>
      <c r="IO218" s="415"/>
      <c r="IP218" s="416"/>
      <c r="IQ218" s="417"/>
      <c r="IR218" s="412"/>
      <c r="IS218" s="413"/>
      <c r="IT218" s="414"/>
      <c r="IU218" s="414"/>
      <c r="IV218" s="414"/>
    </row>
    <row r="219" spans="1:256" ht="6.75" customHeight="1">
      <c r="A219" s="589"/>
      <c r="B219" s="590"/>
      <c r="C219" s="407"/>
      <c r="D219" s="407"/>
      <c r="E219" s="407"/>
      <c r="F219" s="407"/>
      <c r="G219" s="407"/>
      <c r="H219" s="407"/>
      <c r="I219" s="467"/>
      <c r="J219" s="458"/>
      <c r="K219" s="458"/>
      <c r="L219" s="459"/>
      <c r="M219" s="457"/>
      <c r="N219" s="457"/>
      <c r="O219" s="457"/>
      <c r="P219" s="457"/>
      <c r="Q219" s="419" t="s">
        <v>159</v>
      </c>
      <c r="R219" s="419"/>
      <c r="S219" s="420"/>
      <c r="T219" s="421"/>
      <c r="U219" s="413"/>
      <c r="V219" s="414"/>
      <c r="W219" s="414"/>
      <c r="X219" s="414"/>
      <c r="Y219" s="418" t="s">
        <v>159</v>
      </c>
      <c r="Z219" s="419"/>
      <c r="AA219" s="420"/>
      <c r="AB219" s="421"/>
      <c r="AC219" s="413"/>
      <c r="AD219" s="414"/>
      <c r="AE219" s="414"/>
      <c r="AF219" s="414"/>
      <c r="AG219" s="418" t="s">
        <v>159</v>
      </c>
      <c r="AH219" s="419"/>
      <c r="AI219" s="420"/>
      <c r="AJ219" s="421"/>
      <c r="AK219" s="413"/>
      <c r="AL219" s="414"/>
      <c r="AM219" s="414"/>
      <c r="AN219" s="414"/>
      <c r="AO219" s="418" t="s">
        <v>159</v>
      </c>
      <c r="AP219" s="419"/>
      <c r="AQ219" s="420"/>
      <c r="AR219" s="421"/>
      <c r="AS219" s="413"/>
      <c r="AT219" s="414"/>
      <c r="AU219" s="414"/>
      <c r="AV219" s="414"/>
      <c r="AW219" s="418" t="s">
        <v>159</v>
      </c>
      <c r="AX219" s="419"/>
      <c r="AY219" s="420"/>
      <c r="AZ219" s="421"/>
      <c r="BA219" s="413"/>
      <c r="BB219" s="414"/>
      <c r="BC219" s="414"/>
      <c r="BD219" s="414"/>
      <c r="BE219" s="418" t="s">
        <v>159</v>
      </c>
      <c r="BF219" s="419"/>
      <c r="BG219" s="420"/>
      <c r="BH219" s="421"/>
      <c r="BI219" s="413"/>
      <c r="BJ219" s="414"/>
      <c r="BK219" s="414"/>
      <c r="BL219" s="414"/>
      <c r="BM219" s="418" t="s">
        <v>159</v>
      </c>
      <c r="BN219" s="419"/>
      <c r="BO219" s="420"/>
      <c r="BP219" s="421"/>
      <c r="BQ219" s="413"/>
      <c r="BR219" s="414"/>
      <c r="BS219" s="414"/>
      <c r="BT219" s="414"/>
      <c r="BU219" s="418" t="s">
        <v>159</v>
      </c>
      <c r="BV219" s="419"/>
      <c r="BW219" s="420"/>
      <c r="BX219" s="421"/>
      <c r="BY219" s="413"/>
      <c r="BZ219" s="414"/>
      <c r="CA219" s="414"/>
      <c r="CB219" s="414"/>
      <c r="CC219" s="418" t="s">
        <v>159</v>
      </c>
      <c r="CD219" s="419"/>
      <c r="CE219" s="420"/>
      <c r="CF219" s="421"/>
      <c r="CG219" s="413"/>
      <c r="CH219" s="414"/>
      <c r="CI219" s="414"/>
      <c r="CJ219" s="414"/>
      <c r="CK219" s="418" t="s">
        <v>159</v>
      </c>
      <c r="CL219" s="419"/>
      <c r="CM219" s="420"/>
      <c r="CN219" s="421"/>
      <c r="CO219" s="413"/>
      <c r="CP219" s="414"/>
      <c r="CQ219" s="414"/>
      <c r="CR219" s="414"/>
      <c r="CS219" s="418" t="s">
        <v>159</v>
      </c>
      <c r="CT219" s="419"/>
      <c r="CU219" s="420"/>
      <c r="CV219" s="421"/>
      <c r="CW219" s="413"/>
      <c r="CX219" s="414"/>
      <c r="CY219" s="414"/>
      <c r="CZ219" s="414"/>
      <c r="DA219" s="418" t="s">
        <v>159</v>
      </c>
      <c r="DB219" s="419"/>
      <c r="DC219" s="420"/>
      <c r="DD219" s="421"/>
      <c r="DE219" s="413"/>
      <c r="DF219" s="414"/>
      <c r="DG219" s="414"/>
      <c r="DH219" s="414"/>
      <c r="DI219" s="418" t="s">
        <v>159</v>
      </c>
      <c r="DJ219" s="419"/>
      <c r="DK219" s="420"/>
      <c r="DL219" s="421"/>
      <c r="DM219" s="413"/>
      <c r="DN219" s="414"/>
      <c r="DO219" s="414"/>
      <c r="DP219" s="414"/>
      <c r="DQ219" s="418" t="s">
        <v>159</v>
      </c>
      <c r="DR219" s="419"/>
      <c r="DS219" s="420"/>
      <c r="DT219" s="421"/>
      <c r="DU219" s="413"/>
      <c r="DV219" s="414"/>
      <c r="DW219" s="414"/>
      <c r="DX219" s="414"/>
      <c r="DY219" s="418" t="s">
        <v>159</v>
      </c>
      <c r="DZ219" s="419"/>
      <c r="EA219" s="420"/>
      <c r="EB219" s="421"/>
      <c r="EC219" s="413"/>
      <c r="ED219" s="414"/>
      <c r="EE219" s="414"/>
      <c r="EF219" s="414"/>
      <c r="EG219" s="418" t="s">
        <v>159</v>
      </c>
      <c r="EH219" s="419"/>
      <c r="EI219" s="420"/>
      <c r="EJ219" s="421"/>
      <c r="EK219" s="413"/>
      <c r="EL219" s="414"/>
      <c r="EM219" s="414"/>
      <c r="EN219" s="414"/>
      <c r="EO219" s="418" t="s">
        <v>159</v>
      </c>
      <c r="EP219" s="419"/>
      <c r="EQ219" s="420"/>
      <c r="ER219" s="421"/>
      <c r="ES219" s="413"/>
      <c r="ET219" s="414"/>
      <c r="EU219" s="414"/>
      <c r="EV219" s="414"/>
      <c r="EW219" s="418" t="s">
        <v>159</v>
      </c>
      <c r="EX219" s="419"/>
      <c r="EY219" s="420"/>
      <c r="EZ219" s="421"/>
      <c r="FA219" s="413"/>
      <c r="FB219" s="414"/>
      <c r="FC219" s="414"/>
      <c r="FD219" s="414"/>
      <c r="FE219" s="418" t="s">
        <v>159</v>
      </c>
      <c r="FF219" s="419"/>
      <c r="FG219" s="420"/>
      <c r="FH219" s="421"/>
      <c r="FI219" s="413"/>
      <c r="FJ219" s="414"/>
      <c r="FK219" s="414"/>
      <c r="FL219" s="414"/>
      <c r="FM219" s="418" t="s">
        <v>159</v>
      </c>
      <c r="FN219" s="419"/>
      <c r="FO219" s="420"/>
      <c r="FP219" s="421"/>
      <c r="FQ219" s="413"/>
      <c r="FR219" s="414"/>
      <c r="FS219" s="414"/>
      <c r="FT219" s="414"/>
      <c r="FU219" s="418" t="s">
        <v>159</v>
      </c>
      <c r="FV219" s="419"/>
      <c r="FW219" s="420"/>
      <c r="FX219" s="421"/>
      <c r="FY219" s="413"/>
      <c r="FZ219" s="414"/>
      <c r="GA219" s="414"/>
      <c r="GB219" s="414"/>
      <c r="GC219" s="418" t="s">
        <v>159</v>
      </c>
      <c r="GD219" s="419"/>
      <c r="GE219" s="420"/>
      <c r="GF219" s="421"/>
      <c r="GG219" s="413"/>
      <c r="GH219" s="414"/>
      <c r="GI219" s="414"/>
      <c r="GJ219" s="414"/>
      <c r="GK219" s="418" t="s">
        <v>159</v>
      </c>
      <c r="GL219" s="419"/>
      <c r="GM219" s="420"/>
      <c r="GN219" s="421"/>
      <c r="GO219" s="413"/>
      <c r="GP219" s="414"/>
      <c r="GQ219" s="414"/>
      <c r="GR219" s="414"/>
      <c r="GS219" s="418" t="s">
        <v>159</v>
      </c>
      <c r="GT219" s="419"/>
      <c r="GU219" s="420"/>
      <c r="GV219" s="421"/>
      <c r="GW219" s="413"/>
      <c r="GX219" s="414"/>
      <c r="GY219" s="414"/>
      <c r="GZ219" s="414"/>
      <c r="HA219" s="418" t="s">
        <v>159</v>
      </c>
      <c r="HB219" s="419"/>
      <c r="HC219" s="420"/>
      <c r="HD219" s="421"/>
      <c r="HE219" s="413"/>
      <c r="HF219" s="414"/>
      <c r="HG219" s="414"/>
      <c r="HH219" s="414"/>
      <c r="HI219" s="418" t="s">
        <v>159</v>
      </c>
      <c r="HJ219" s="419"/>
      <c r="HK219" s="420"/>
      <c r="HL219" s="421"/>
      <c r="HM219" s="413"/>
      <c r="HN219" s="414"/>
      <c r="HO219" s="414"/>
      <c r="HP219" s="414"/>
      <c r="HQ219" s="418" t="s">
        <v>159</v>
      </c>
      <c r="HR219" s="419"/>
      <c r="HS219" s="420"/>
      <c r="HT219" s="421"/>
      <c r="HU219" s="413"/>
      <c r="HV219" s="414"/>
      <c r="HW219" s="414"/>
      <c r="HX219" s="414"/>
      <c r="HY219" s="418" t="s">
        <v>159</v>
      </c>
      <c r="HZ219" s="419"/>
      <c r="IA219" s="420"/>
      <c r="IB219" s="421"/>
      <c r="IC219" s="413"/>
      <c r="ID219" s="414"/>
      <c r="IE219" s="414"/>
      <c r="IF219" s="414"/>
      <c r="IG219" s="418" t="s">
        <v>159</v>
      </c>
      <c r="IH219" s="419"/>
      <c r="II219" s="420"/>
      <c r="IJ219" s="421"/>
      <c r="IK219" s="413"/>
      <c r="IL219" s="414"/>
      <c r="IM219" s="414"/>
      <c r="IN219" s="414"/>
      <c r="IO219" s="418" t="s">
        <v>159</v>
      </c>
      <c r="IP219" s="419"/>
      <c r="IQ219" s="420"/>
      <c r="IR219" s="421"/>
      <c r="IS219" s="413"/>
      <c r="IT219" s="414"/>
      <c r="IU219" s="414"/>
      <c r="IV219" s="414"/>
    </row>
    <row r="220" spans="1:256" ht="12.75">
      <c r="A220" s="355" t="s">
        <v>247</v>
      </c>
      <c r="B220" s="355"/>
      <c r="C220" s="353" t="s">
        <v>190</v>
      </c>
      <c r="D220" s="353"/>
      <c r="E220" s="588">
        <v>0</v>
      </c>
      <c r="F220" s="588"/>
      <c r="G220" s="345">
        <v>0</v>
      </c>
      <c r="H220" s="346"/>
      <c r="I220" s="337"/>
      <c r="J220" s="455"/>
      <c r="K220" s="455"/>
      <c r="L220" s="459"/>
      <c r="M220" s="457"/>
      <c r="N220" s="457"/>
      <c r="O220" s="457"/>
      <c r="P220" s="457"/>
      <c r="Q220" s="417"/>
      <c r="R220" s="411"/>
      <c r="S220" s="411"/>
      <c r="T220" s="421"/>
      <c r="U220" s="413"/>
      <c r="V220" s="414"/>
      <c r="W220" s="414"/>
      <c r="X220" s="414"/>
      <c r="Y220" s="411"/>
      <c r="Z220" s="411"/>
      <c r="AA220" s="411"/>
      <c r="AB220" s="421"/>
      <c r="AC220" s="413"/>
      <c r="AD220" s="414"/>
      <c r="AE220" s="414"/>
      <c r="AF220" s="414"/>
      <c r="AG220" s="411"/>
      <c r="AH220" s="411"/>
      <c r="AI220" s="411"/>
      <c r="AJ220" s="421"/>
      <c r="AK220" s="413"/>
      <c r="AL220" s="414"/>
      <c r="AM220" s="414"/>
      <c r="AN220" s="414"/>
      <c r="AO220" s="411"/>
      <c r="AP220" s="411"/>
      <c r="AQ220" s="411"/>
      <c r="AR220" s="421"/>
      <c r="AS220" s="413"/>
      <c r="AT220" s="414"/>
      <c r="AU220" s="414"/>
      <c r="AV220" s="414"/>
      <c r="AW220" s="411"/>
      <c r="AX220" s="411"/>
      <c r="AY220" s="411"/>
      <c r="AZ220" s="421"/>
      <c r="BA220" s="413"/>
      <c r="BB220" s="414"/>
      <c r="BC220" s="414"/>
      <c r="BD220" s="414"/>
      <c r="BE220" s="411"/>
      <c r="BF220" s="411"/>
      <c r="BG220" s="411"/>
      <c r="BH220" s="421"/>
      <c r="BI220" s="413"/>
      <c r="BJ220" s="414"/>
      <c r="BK220" s="414"/>
      <c r="BL220" s="414"/>
      <c r="BM220" s="411"/>
      <c r="BN220" s="411"/>
      <c r="BO220" s="411"/>
      <c r="BP220" s="421"/>
      <c r="BQ220" s="413"/>
      <c r="BR220" s="414"/>
      <c r="BS220" s="414"/>
      <c r="BT220" s="414"/>
      <c r="BU220" s="411"/>
      <c r="BV220" s="411"/>
      <c r="BW220" s="411"/>
      <c r="BX220" s="421"/>
      <c r="BY220" s="413"/>
      <c r="BZ220" s="414"/>
      <c r="CA220" s="414"/>
      <c r="CB220" s="414"/>
      <c r="CC220" s="411"/>
      <c r="CD220" s="411"/>
      <c r="CE220" s="411"/>
      <c r="CF220" s="421"/>
      <c r="CG220" s="413"/>
      <c r="CH220" s="414"/>
      <c r="CI220" s="414"/>
      <c r="CJ220" s="414"/>
      <c r="CK220" s="411"/>
      <c r="CL220" s="411"/>
      <c r="CM220" s="411"/>
      <c r="CN220" s="421"/>
      <c r="CO220" s="413"/>
      <c r="CP220" s="414"/>
      <c r="CQ220" s="414"/>
      <c r="CR220" s="414"/>
      <c r="CS220" s="411"/>
      <c r="CT220" s="411"/>
      <c r="CU220" s="411"/>
      <c r="CV220" s="421"/>
      <c r="CW220" s="413"/>
      <c r="CX220" s="414"/>
      <c r="CY220" s="414"/>
      <c r="CZ220" s="414"/>
      <c r="DA220" s="411"/>
      <c r="DB220" s="411"/>
      <c r="DC220" s="411"/>
      <c r="DD220" s="421"/>
      <c r="DE220" s="413"/>
      <c r="DF220" s="414"/>
      <c r="DG220" s="414"/>
      <c r="DH220" s="414"/>
      <c r="DI220" s="411"/>
      <c r="DJ220" s="411"/>
      <c r="DK220" s="411"/>
      <c r="DL220" s="421"/>
      <c r="DM220" s="413"/>
      <c r="DN220" s="414"/>
      <c r="DO220" s="414"/>
      <c r="DP220" s="414"/>
      <c r="DQ220" s="411"/>
      <c r="DR220" s="411"/>
      <c r="DS220" s="411"/>
      <c r="DT220" s="421"/>
      <c r="DU220" s="413"/>
      <c r="DV220" s="414"/>
      <c r="DW220" s="414"/>
      <c r="DX220" s="414"/>
      <c r="DY220" s="411"/>
      <c r="DZ220" s="411"/>
      <c r="EA220" s="411"/>
      <c r="EB220" s="421"/>
      <c r="EC220" s="413"/>
      <c r="ED220" s="414"/>
      <c r="EE220" s="414"/>
      <c r="EF220" s="414"/>
      <c r="EG220" s="411"/>
      <c r="EH220" s="411"/>
      <c r="EI220" s="411"/>
      <c r="EJ220" s="421"/>
      <c r="EK220" s="413"/>
      <c r="EL220" s="414"/>
      <c r="EM220" s="414"/>
      <c r="EN220" s="414"/>
      <c r="EO220" s="411"/>
      <c r="EP220" s="411"/>
      <c r="EQ220" s="411"/>
      <c r="ER220" s="421"/>
      <c r="ES220" s="413"/>
      <c r="ET220" s="414"/>
      <c r="EU220" s="414"/>
      <c r="EV220" s="414"/>
      <c r="EW220" s="411"/>
      <c r="EX220" s="411"/>
      <c r="EY220" s="411"/>
      <c r="EZ220" s="421"/>
      <c r="FA220" s="413"/>
      <c r="FB220" s="414"/>
      <c r="FC220" s="414"/>
      <c r="FD220" s="414"/>
      <c r="FE220" s="411"/>
      <c r="FF220" s="411"/>
      <c r="FG220" s="411"/>
      <c r="FH220" s="421"/>
      <c r="FI220" s="413"/>
      <c r="FJ220" s="414"/>
      <c r="FK220" s="414"/>
      <c r="FL220" s="414"/>
      <c r="FM220" s="411"/>
      <c r="FN220" s="411"/>
      <c r="FO220" s="411"/>
      <c r="FP220" s="421"/>
      <c r="FQ220" s="413"/>
      <c r="FR220" s="414"/>
      <c r="FS220" s="414"/>
      <c r="FT220" s="414"/>
      <c r="FU220" s="411"/>
      <c r="FV220" s="411"/>
      <c r="FW220" s="411"/>
      <c r="FX220" s="421"/>
      <c r="FY220" s="413"/>
      <c r="FZ220" s="414"/>
      <c r="GA220" s="414"/>
      <c r="GB220" s="414"/>
      <c r="GC220" s="411"/>
      <c r="GD220" s="411"/>
      <c r="GE220" s="411"/>
      <c r="GF220" s="421"/>
      <c r="GG220" s="413"/>
      <c r="GH220" s="414"/>
      <c r="GI220" s="414"/>
      <c r="GJ220" s="414"/>
      <c r="GK220" s="411"/>
      <c r="GL220" s="411"/>
      <c r="GM220" s="411"/>
      <c r="GN220" s="421"/>
      <c r="GO220" s="413"/>
      <c r="GP220" s="414"/>
      <c r="GQ220" s="414"/>
      <c r="GR220" s="414"/>
      <c r="GS220" s="411"/>
      <c r="GT220" s="411"/>
      <c r="GU220" s="411"/>
      <c r="GV220" s="421"/>
      <c r="GW220" s="413"/>
      <c r="GX220" s="414"/>
      <c r="GY220" s="414"/>
      <c r="GZ220" s="414"/>
      <c r="HA220" s="411"/>
      <c r="HB220" s="411"/>
      <c r="HC220" s="411"/>
      <c r="HD220" s="421"/>
      <c r="HE220" s="413"/>
      <c r="HF220" s="414"/>
      <c r="HG220" s="414"/>
      <c r="HH220" s="414"/>
      <c r="HI220" s="411"/>
      <c r="HJ220" s="411"/>
      <c r="HK220" s="411"/>
      <c r="HL220" s="421"/>
      <c r="HM220" s="413"/>
      <c r="HN220" s="414"/>
      <c r="HO220" s="414"/>
      <c r="HP220" s="414"/>
      <c r="HQ220" s="411"/>
      <c r="HR220" s="411"/>
      <c r="HS220" s="411"/>
      <c r="HT220" s="421"/>
      <c r="HU220" s="413"/>
      <c r="HV220" s="414"/>
      <c r="HW220" s="414"/>
      <c r="HX220" s="414"/>
      <c r="HY220" s="411"/>
      <c r="HZ220" s="411"/>
      <c r="IA220" s="411"/>
      <c r="IB220" s="421"/>
      <c r="IC220" s="413"/>
      <c r="ID220" s="414"/>
      <c r="IE220" s="414"/>
      <c r="IF220" s="414"/>
      <c r="IG220" s="411"/>
      <c r="IH220" s="411"/>
      <c r="II220" s="411"/>
      <c r="IJ220" s="421"/>
      <c r="IK220" s="413"/>
      <c r="IL220" s="414"/>
      <c r="IM220" s="414"/>
      <c r="IN220" s="414"/>
      <c r="IO220" s="411"/>
      <c r="IP220" s="411"/>
      <c r="IQ220" s="411"/>
      <c r="IR220" s="421"/>
      <c r="IS220" s="413"/>
      <c r="IT220" s="414"/>
      <c r="IU220" s="414"/>
      <c r="IV220" s="414"/>
    </row>
    <row r="221" spans="1:256" ht="12.75">
      <c r="A221" s="368" t="s">
        <v>234</v>
      </c>
      <c r="B221" s="368"/>
      <c r="C221" s="356" t="s">
        <v>191</v>
      </c>
      <c r="D221" s="356"/>
      <c r="E221" s="342">
        <v>0</v>
      </c>
      <c r="F221" s="343"/>
      <c r="G221" s="345">
        <v>0</v>
      </c>
      <c r="H221" s="359"/>
      <c r="I221" s="337"/>
      <c r="J221" s="455"/>
      <c r="K221" s="455"/>
      <c r="L221" s="459"/>
      <c r="M221" s="457"/>
      <c r="N221" s="457"/>
      <c r="O221" s="457"/>
      <c r="P221" s="457"/>
      <c r="Q221" s="417"/>
      <c r="R221" s="411"/>
      <c r="S221" s="411"/>
      <c r="T221" s="421"/>
      <c r="U221" s="413"/>
      <c r="V221" s="414"/>
      <c r="W221" s="414"/>
      <c r="X221" s="414"/>
      <c r="Y221" s="411"/>
      <c r="Z221" s="411"/>
      <c r="AA221" s="411"/>
      <c r="AB221" s="421"/>
      <c r="AC221" s="413"/>
      <c r="AD221" s="414"/>
      <c r="AE221" s="414"/>
      <c r="AF221" s="414"/>
      <c r="AG221" s="411"/>
      <c r="AH221" s="411"/>
      <c r="AI221" s="411"/>
      <c r="AJ221" s="421"/>
      <c r="AK221" s="413"/>
      <c r="AL221" s="414"/>
      <c r="AM221" s="414"/>
      <c r="AN221" s="414"/>
      <c r="AO221" s="411"/>
      <c r="AP221" s="411"/>
      <c r="AQ221" s="411"/>
      <c r="AR221" s="421"/>
      <c r="AS221" s="413"/>
      <c r="AT221" s="414"/>
      <c r="AU221" s="414"/>
      <c r="AV221" s="414"/>
      <c r="AW221" s="411"/>
      <c r="AX221" s="411"/>
      <c r="AY221" s="411"/>
      <c r="AZ221" s="421"/>
      <c r="BA221" s="413"/>
      <c r="BB221" s="414"/>
      <c r="BC221" s="414"/>
      <c r="BD221" s="414"/>
      <c r="BE221" s="411"/>
      <c r="BF221" s="411"/>
      <c r="BG221" s="411"/>
      <c r="BH221" s="421"/>
      <c r="BI221" s="413"/>
      <c r="BJ221" s="414"/>
      <c r="BK221" s="414"/>
      <c r="BL221" s="414"/>
      <c r="BM221" s="411"/>
      <c r="BN221" s="411"/>
      <c r="BO221" s="411"/>
      <c r="BP221" s="421"/>
      <c r="BQ221" s="413"/>
      <c r="BR221" s="414"/>
      <c r="BS221" s="414"/>
      <c r="BT221" s="414"/>
      <c r="BU221" s="411"/>
      <c r="BV221" s="411"/>
      <c r="BW221" s="411"/>
      <c r="BX221" s="421"/>
      <c r="BY221" s="413"/>
      <c r="BZ221" s="414"/>
      <c r="CA221" s="414"/>
      <c r="CB221" s="414"/>
      <c r="CC221" s="411"/>
      <c r="CD221" s="411"/>
      <c r="CE221" s="411"/>
      <c r="CF221" s="421"/>
      <c r="CG221" s="413"/>
      <c r="CH221" s="414"/>
      <c r="CI221" s="414"/>
      <c r="CJ221" s="414"/>
      <c r="CK221" s="411"/>
      <c r="CL221" s="411"/>
      <c r="CM221" s="411"/>
      <c r="CN221" s="421"/>
      <c r="CO221" s="413"/>
      <c r="CP221" s="414"/>
      <c r="CQ221" s="414"/>
      <c r="CR221" s="414"/>
      <c r="CS221" s="411"/>
      <c r="CT221" s="411"/>
      <c r="CU221" s="411"/>
      <c r="CV221" s="421"/>
      <c r="CW221" s="413"/>
      <c r="CX221" s="414"/>
      <c r="CY221" s="414"/>
      <c r="CZ221" s="414"/>
      <c r="DA221" s="411"/>
      <c r="DB221" s="411"/>
      <c r="DC221" s="411"/>
      <c r="DD221" s="421"/>
      <c r="DE221" s="413"/>
      <c r="DF221" s="414"/>
      <c r="DG221" s="414"/>
      <c r="DH221" s="414"/>
      <c r="DI221" s="411"/>
      <c r="DJ221" s="411"/>
      <c r="DK221" s="411"/>
      <c r="DL221" s="421"/>
      <c r="DM221" s="413"/>
      <c r="DN221" s="414"/>
      <c r="DO221" s="414"/>
      <c r="DP221" s="414"/>
      <c r="DQ221" s="411"/>
      <c r="DR221" s="411"/>
      <c r="DS221" s="411"/>
      <c r="DT221" s="421"/>
      <c r="DU221" s="413"/>
      <c r="DV221" s="414"/>
      <c r="DW221" s="414"/>
      <c r="DX221" s="414"/>
      <c r="DY221" s="411"/>
      <c r="DZ221" s="411"/>
      <c r="EA221" s="411"/>
      <c r="EB221" s="421"/>
      <c r="EC221" s="413"/>
      <c r="ED221" s="414"/>
      <c r="EE221" s="414"/>
      <c r="EF221" s="414"/>
      <c r="EG221" s="411"/>
      <c r="EH221" s="411"/>
      <c r="EI221" s="411"/>
      <c r="EJ221" s="421"/>
      <c r="EK221" s="413"/>
      <c r="EL221" s="414"/>
      <c r="EM221" s="414"/>
      <c r="EN221" s="414"/>
      <c r="EO221" s="411"/>
      <c r="EP221" s="411"/>
      <c r="EQ221" s="411"/>
      <c r="ER221" s="421"/>
      <c r="ES221" s="413"/>
      <c r="ET221" s="414"/>
      <c r="EU221" s="414"/>
      <c r="EV221" s="414"/>
      <c r="EW221" s="411"/>
      <c r="EX221" s="411"/>
      <c r="EY221" s="411"/>
      <c r="EZ221" s="421"/>
      <c r="FA221" s="413"/>
      <c r="FB221" s="414"/>
      <c r="FC221" s="414"/>
      <c r="FD221" s="414"/>
      <c r="FE221" s="411"/>
      <c r="FF221" s="411"/>
      <c r="FG221" s="411"/>
      <c r="FH221" s="421"/>
      <c r="FI221" s="413"/>
      <c r="FJ221" s="414"/>
      <c r="FK221" s="414"/>
      <c r="FL221" s="414"/>
      <c r="FM221" s="411"/>
      <c r="FN221" s="411"/>
      <c r="FO221" s="411"/>
      <c r="FP221" s="421"/>
      <c r="FQ221" s="413"/>
      <c r="FR221" s="414"/>
      <c r="FS221" s="414"/>
      <c r="FT221" s="414"/>
      <c r="FU221" s="411"/>
      <c r="FV221" s="411"/>
      <c r="FW221" s="411"/>
      <c r="FX221" s="421"/>
      <c r="FY221" s="413"/>
      <c r="FZ221" s="414"/>
      <c r="GA221" s="414"/>
      <c r="GB221" s="414"/>
      <c r="GC221" s="411"/>
      <c r="GD221" s="411"/>
      <c r="GE221" s="411"/>
      <c r="GF221" s="421"/>
      <c r="GG221" s="413"/>
      <c r="GH221" s="414"/>
      <c r="GI221" s="414"/>
      <c r="GJ221" s="414"/>
      <c r="GK221" s="411"/>
      <c r="GL221" s="411"/>
      <c r="GM221" s="411"/>
      <c r="GN221" s="421"/>
      <c r="GO221" s="413"/>
      <c r="GP221" s="414"/>
      <c r="GQ221" s="414"/>
      <c r="GR221" s="414"/>
      <c r="GS221" s="411"/>
      <c r="GT221" s="411"/>
      <c r="GU221" s="411"/>
      <c r="GV221" s="421"/>
      <c r="GW221" s="413"/>
      <c r="GX221" s="414"/>
      <c r="GY221" s="414"/>
      <c r="GZ221" s="414"/>
      <c r="HA221" s="411"/>
      <c r="HB221" s="411"/>
      <c r="HC221" s="411"/>
      <c r="HD221" s="421"/>
      <c r="HE221" s="413"/>
      <c r="HF221" s="414"/>
      <c r="HG221" s="414"/>
      <c r="HH221" s="414"/>
      <c r="HI221" s="411"/>
      <c r="HJ221" s="411"/>
      <c r="HK221" s="411"/>
      <c r="HL221" s="421"/>
      <c r="HM221" s="413"/>
      <c r="HN221" s="414"/>
      <c r="HO221" s="414"/>
      <c r="HP221" s="414"/>
      <c r="HQ221" s="411"/>
      <c r="HR221" s="411"/>
      <c r="HS221" s="411"/>
      <c r="HT221" s="421"/>
      <c r="HU221" s="413"/>
      <c r="HV221" s="414"/>
      <c r="HW221" s="414"/>
      <c r="HX221" s="414"/>
      <c r="HY221" s="411"/>
      <c r="HZ221" s="411"/>
      <c r="IA221" s="411"/>
      <c r="IB221" s="421"/>
      <c r="IC221" s="413"/>
      <c r="ID221" s="414"/>
      <c r="IE221" s="414"/>
      <c r="IF221" s="414"/>
      <c r="IG221" s="411"/>
      <c r="IH221" s="411"/>
      <c r="II221" s="411"/>
      <c r="IJ221" s="421"/>
      <c r="IK221" s="413"/>
      <c r="IL221" s="414"/>
      <c r="IM221" s="414"/>
      <c r="IN221" s="414"/>
      <c r="IO221" s="411"/>
      <c r="IP221" s="411"/>
      <c r="IQ221" s="411"/>
      <c r="IR221" s="421"/>
      <c r="IS221" s="413"/>
      <c r="IT221" s="414"/>
      <c r="IU221" s="414"/>
      <c r="IV221" s="414"/>
    </row>
    <row r="222" spans="1:256" ht="12.75">
      <c r="A222" s="362" t="s">
        <v>134</v>
      </c>
      <c r="B222" s="363"/>
      <c r="C222" s="364"/>
      <c r="D222" s="364"/>
      <c r="E222" s="364"/>
      <c r="F222" s="365"/>
      <c r="G222" s="357">
        <f>SUM(G220+G221)</f>
        <v>0</v>
      </c>
      <c r="H222" s="358"/>
      <c r="I222" s="340"/>
      <c r="J222" s="455"/>
      <c r="K222" s="455"/>
      <c r="L222" s="459"/>
      <c r="M222" s="457"/>
      <c r="N222" s="457"/>
      <c r="O222" s="457"/>
      <c r="P222" s="457"/>
      <c r="Q222" s="417"/>
      <c r="R222" s="411"/>
      <c r="S222" s="411"/>
      <c r="T222" s="421"/>
      <c r="U222" s="413"/>
      <c r="V222" s="414"/>
      <c r="W222" s="414"/>
      <c r="X222" s="414"/>
      <c r="Y222" s="411"/>
      <c r="Z222" s="411"/>
      <c r="AA222" s="411"/>
      <c r="AB222" s="421"/>
      <c r="AC222" s="413"/>
      <c r="AD222" s="414"/>
      <c r="AE222" s="414"/>
      <c r="AF222" s="414"/>
      <c r="AG222" s="411"/>
      <c r="AH222" s="411"/>
      <c r="AI222" s="411"/>
      <c r="AJ222" s="421"/>
      <c r="AK222" s="413"/>
      <c r="AL222" s="414"/>
      <c r="AM222" s="414"/>
      <c r="AN222" s="414"/>
      <c r="AO222" s="411"/>
      <c r="AP222" s="411"/>
      <c r="AQ222" s="411"/>
      <c r="AR222" s="421"/>
      <c r="AS222" s="413"/>
      <c r="AT222" s="414"/>
      <c r="AU222" s="414"/>
      <c r="AV222" s="414"/>
      <c r="AW222" s="411"/>
      <c r="AX222" s="411"/>
      <c r="AY222" s="411"/>
      <c r="AZ222" s="421"/>
      <c r="BA222" s="413"/>
      <c r="BB222" s="414"/>
      <c r="BC222" s="414"/>
      <c r="BD222" s="414"/>
      <c r="BE222" s="411"/>
      <c r="BF222" s="411"/>
      <c r="BG222" s="411"/>
      <c r="BH222" s="421"/>
      <c r="BI222" s="413"/>
      <c r="BJ222" s="414"/>
      <c r="BK222" s="414"/>
      <c r="BL222" s="414"/>
      <c r="BM222" s="411"/>
      <c r="BN222" s="411"/>
      <c r="BO222" s="411"/>
      <c r="BP222" s="421"/>
      <c r="BQ222" s="413"/>
      <c r="BR222" s="414"/>
      <c r="BS222" s="414"/>
      <c r="BT222" s="414"/>
      <c r="BU222" s="411"/>
      <c r="BV222" s="411"/>
      <c r="BW222" s="411"/>
      <c r="BX222" s="421"/>
      <c r="BY222" s="413"/>
      <c r="BZ222" s="414"/>
      <c r="CA222" s="414"/>
      <c r="CB222" s="414"/>
      <c r="CC222" s="411"/>
      <c r="CD222" s="411"/>
      <c r="CE222" s="411"/>
      <c r="CF222" s="421"/>
      <c r="CG222" s="413"/>
      <c r="CH222" s="414"/>
      <c r="CI222" s="414"/>
      <c r="CJ222" s="414"/>
      <c r="CK222" s="411"/>
      <c r="CL222" s="411"/>
      <c r="CM222" s="411"/>
      <c r="CN222" s="421"/>
      <c r="CO222" s="413"/>
      <c r="CP222" s="414"/>
      <c r="CQ222" s="414"/>
      <c r="CR222" s="414"/>
      <c r="CS222" s="411"/>
      <c r="CT222" s="411"/>
      <c r="CU222" s="411"/>
      <c r="CV222" s="421"/>
      <c r="CW222" s="413"/>
      <c r="CX222" s="414"/>
      <c r="CY222" s="414"/>
      <c r="CZ222" s="414"/>
      <c r="DA222" s="411"/>
      <c r="DB222" s="411"/>
      <c r="DC222" s="411"/>
      <c r="DD222" s="421"/>
      <c r="DE222" s="413"/>
      <c r="DF222" s="414"/>
      <c r="DG222" s="414"/>
      <c r="DH222" s="414"/>
      <c r="DI222" s="411"/>
      <c r="DJ222" s="411"/>
      <c r="DK222" s="411"/>
      <c r="DL222" s="421"/>
      <c r="DM222" s="413"/>
      <c r="DN222" s="414"/>
      <c r="DO222" s="414"/>
      <c r="DP222" s="414"/>
      <c r="DQ222" s="411"/>
      <c r="DR222" s="411"/>
      <c r="DS222" s="411"/>
      <c r="DT222" s="421"/>
      <c r="DU222" s="413"/>
      <c r="DV222" s="414"/>
      <c r="DW222" s="414"/>
      <c r="DX222" s="414"/>
      <c r="DY222" s="411"/>
      <c r="DZ222" s="411"/>
      <c r="EA222" s="411"/>
      <c r="EB222" s="421"/>
      <c r="EC222" s="413"/>
      <c r="ED222" s="414"/>
      <c r="EE222" s="414"/>
      <c r="EF222" s="414"/>
      <c r="EG222" s="411"/>
      <c r="EH222" s="411"/>
      <c r="EI222" s="411"/>
      <c r="EJ222" s="421"/>
      <c r="EK222" s="413"/>
      <c r="EL222" s="414"/>
      <c r="EM222" s="414"/>
      <c r="EN222" s="414"/>
      <c r="EO222" s="411"/>
      <c r="EP222" s="411"/>
      <c r="EQ222" s="411"/>
      <c r="ER222" s="421"/>
      <c r="ES222" s="413"/>
      <c r="ET222" s="414"/>
      <c r="EU222" s="414"/>
      <c r="EV222" s="414"/>
      <c r="EW222" s="411"/>
      <c r="EX222" s="411"/>
      <c r="EY222" s="411"/>
      <c r="EZ222" s="421"/>
      <c r="FA222" s="413"/>
      <c r="FB222" s="414"/>
      <c r="FC222" s="414"/>
      <c r="FD222" s="414"/>
      <c r="FE222" s="411"/>
      <c r="FF222" s="411"/>
      <c r="FG222" s="411"/>
      <c r="FH222" s="421"/>
      <c r="FI222" s="413"/>
      <c r="FJ222" s="414"/>
      <c r="FK222" s="414"/>
      <c r="FL222" s="414"/>
      <c r="FM222" s="411"/>
      <c r="FN222" s="411"/>
      <c r="FO222" s="411"/>
      <c r="FP222" s="421"/>
      <c r="FQ222" s="413"/>
      <c r="FR222" s="414"/>
      <c r="FS222" s="414"/>
      <c r="FT222" s="414"/>
      <c r="FU222" s="411"/>
      <c r="FV222" s="411"/>
      <c r="FW222" s="411"/>
      <c r="FX222" s="421"/>
      <c r="FY222" s="413"/>
      <c r="FZ222" s="414"/>
      <c r="GA222" s="414"/>
      <c r="GB222" s="414"/>
      <c r="GC222" s="411"/>
      <c r="GD222" s="411"/>
      <c r="GE222" s="411"/>
      <c r="GF222" s="421"/>
      <c r="GG222" s="413"/>
      <c r="GH222" s="414"/>
      <c r="GI222" s="414"/>
      <c r="GJ222" s="414"/>
      <c r="GK222" s="411"/>
      <c r="GL222" s="411"/>
      <c r="GM222" s="411"/>
      <c r="GN222" s="421"/>
      <c r="GO222" s="413"/>
      <c r="GP222" s="414"/>
      <c r="GQ222" s="414"/>
      <c r="GR222" s="414"/>
      <c r="GS222" s="411"/>
      <c r="GT222" s="411"/>
      <c r="GU222" s="411"/>
      <c r="GV222" s="421"/>
      <c r="GW222" s="413"/>
      <c r="GX222" s="414"/>
      <c r="GY222" s="414"/>
      <c r="GZ222" s="414"/>
      <c r="HA222" s="411"/>
      <c r="HB222" s="411"/>
      <c r="HC222" s="411"/>
      <c r="HD222" s="421"/>
      <c r="HE222" s="413"/>
      <c r="HF222" s="414"/>
      <c r="HG222" s="414"/>
      <c r="HH222" s="414"/>
      <c r="HI222" s="411"/>
      <c r="HJ222" s="411"/>
      <c r="HK222" s="411"/>
      <c r="HL222" s="421"/>
      <c r="HM222" s="413"/>
      <c r="HN222" s="414"/>
      <c r="HO222" s="414"/>
      <c r="HP222" s="414"/>
      <c r="HQ222" s="411"/>
      <c r="HR222" s="411"/>
      <c r="HS222" s="411"/>
      <c r="HT222" s="421"/>
      <c r="HU222" s="413"/>
      <c r="HV222" s="414"/>
      <c r="HW222" s="414"/>
      <c r="HX222" s="414"/>
      <c r="HY222" s="411"/>
      <c r="HZ222" s="411"/>
      <c r="IA222" s="411"/>
      <c r="IB222" s="421"/>
      <c r="IC222" s="413"/>
      <c r="ID222" s="414"/>
      <c r="IE222" s="414"/>
      <c r="IF222" s="414"/>
      <c r="IG222" s="411"/>
      <c r="IH222" s="411"/>
      <c r="II222" s="411"/>
      <c r="IJ222" s="421"/>
      <c r="IK222" s="413"/>
      <c r="IL222" s="414"/>
      <c r="IM222" s="414"/>
      <c r="IN222" s="414"/>
      <c r="IO222" s="411"/>
      <c r="IP222" s="411"/>
      <c r="IQ222" s="411"/>
      <c r="IR222" s="421"/>
      <c r="IS222" s="413"/>
      <c r="IT222" s="414"/>
      <c r="IU222" s="414"/>
      <c r="IV222" s="414"/>
    </row>
    <row r="223" spans="1:256" ht="7.5" customHeight="1">
      <c r="A223" s="589"/>
      <c r="B223" s="590"/>
      <c r="C223" s="407"/>
      <c r="D223" s="407"/>
      <c r="E223" s="407"/>
      <c r="F223" s="407"/>
      <c r="G223" s="407"/>
      <c r="H223" s="407"/>
      <c r="I223" s="467"/>
      <c r="J223" s="455"/>
      <c r="K223" s="455"/>
      <c r="L223" s="459"/>
      <c r="M223" s="457"/>
      <c r="N223" s="457"/>
      <c r="O223" s="457"/>
      <c r="P223" s="457"/>
      <c r="Q223" s="417"/>
      <c r="R223" s="411"/>
      <c r="S223" s="411"/>
      <c r="T223" s="421"/>
      <c r="U223" s="413"/>
      <c r="V223" s="414"/>
      <c r="W223" s="414"/>
      <c r="X223" s="414"/>
      <c r="Y223" s="411"/>
      <c r="Z223" s="411"/>
      <c r="AA223" s="411"/>
      <c r="AB223" s="421"/>
      <c r="AC223" s="413"/>
      <c r="AD223" s="414"/>
      <c r="AE223" s="414"/>
      <c r="AF223" s="414"/>
      <c r="AG223" s="411"/>
      <c r="AH223" s="411"/>
      <c r="AI223" s="411"/>
      <c r="AJ223" s="421"/>
      <c r="AK223" s="413"/>
      <c r="AL223" s="414"/>
      <c r="AM223" s="414"/>
      <c r="AN223" s="414"/>
      <c r="AO223" s="411"/>
      <c r="AP223" s="411"/>
      <c r="AQ223" s="411"/>
      <c r="AR223" s="421"/>
      <c r="AS223" s="413"/>
      <c r="AT223" s="414"/>
      <c r="AU223" s="414"/>
      <c r="AV223" s="414"/>
      <c r="AW223" s="411"/>
      <c r="AX223" s="411"/>
      <c r="AY223" s="411"/>
      <c r="AZ223" s="421"/>
      <c r="BA223" s="413"/>
      <c r="BB223" s="414"/>
      <c r="BC223" s="414"/>
      <c r="BD223" s="414"/>
      <c r="BE223" s="411"/>
      <c r="BF223" s="411"/>
      <c r="BG223" s="411"/>
      <c r="BH223" s="421"/>
      <c r="BI223" s="413"/>
      <c r="BJ223" s="414"/>
      <c r="BK223" s="414"/>
      <c r="BL223" s="414"/>
      <c r="BM223" s="411"/>
      <c r="BN223" s="411"/>
      <c r="BO223" s="411"/>
      <c r="BP223" s="421"/>
      <c r="BQ223" s="413"/>
      <c r="BR223" s="414"/>
      <c r="BS223" s="414"/>
      <c r="BT223" s="414"/>
      <c r="BU223" s="411"/>
      <c r="BV223" s="411"/>
      <c r="BW223" s="411"/>
      <c r="BX223" s="421"/>
      <c r="BY223" s="413"/>
      <c r="BZ223" s="414"/>
      <c r="CA223" s="414"/>
      <c r="CB223" s="414"/>
      <c r="CC223" s="411"/>
      <c r="CD223" s="411"/>
      <c r="CE223" s="411"/>
      <c r="CF223" s="421"/>
      <c r="CG223" s="413"/>
      <c r="CH223" s="414"/>
      <c r="CI223" s="414"/>
      <c r="CJ223" s="414"/>
      <c r="CK223" s="411"/>
      <c r="CL223" s="411"/>
      <c r="CM223" s="411"/>
      <c r="CN223" s="421"/>
      <c r="CO223" s="413"/>
      <c r="CP223" s="414"/>
      <c r="CQ223" s="414"/>
      <c r="CR223" s="414"/>
      <c r="CS223" s="411"/>
      <c r="CT223" s="411"/>
      <c r="CU223" s="411"/>
      <c r="CV223" s="421"/>
      <c r="CW223" s="413"/>
      <c r="CX223" s="414"/>
      <c r="CY223" s="414"/>
      <c r="CZ223" s="414"/>
      <c r="DA223" s="411"/>
      <c r="DB223" s="411"/>
      <c r="DC223" s="411"/>
      <c r="DD223" s="421"/>
      <c r="DE223" s="413"/>
      <c r="DF223" s="414"/>
      <c r="DG223" s="414"/>
      <c r="DH223" s="414"/>
      <c r="DI223" s="411"/>
      <c r="DJ223" s="411"/>
      <c r="DK223" s="411"/>
      <c r="DL223" s="421"/>
      <c r="DM223" s="413"/>
      <c r="DN223" s="414"/>
      <c r="DO223" s="414"/>
      <c r="DP223" s="414"/>
      <c r="DQ223" s="411"/>
      <c r="DR223" s="411"/>
      <c r="DS223" s="411"/>
      <c r="DT223" s="421"/>
      <c r="DU223" s="413"/>
      <c r="DV223" s="414"/>
      <c r="DW223" s="414"/>
      <c r="DX223" s="414"/>
      <c r="DY223" s="411"/>
      <c r="DZ223" s="411"/>
      <c r="EA223" s="411"/>
      <c r="EB223" s="421"/>
      <c r="EC223" s="413"/>
      <c r="ED223" s="414"/>
      <c r="EE223" s="414"/>
      <c r="EF223" s="414"/>
      <c r="EG223" s="411"/>
      <c r="EH223" s="411"/>
      <c r="EI223" s="411"/>
      <c r="EJ223" s="421"/>
      <c r="EK223" s="413"/>
      <c r="EL223" s="414"/>
      <c r="EM223" s="414"/>
      <c r="EN223" s="414"/>
      <c r="EO223" s="411"/>
      <c r="EP223" s="411"/>
      <c r="EQ223" s="411"/>
      <c r="ER223" s="421"/>
      <c r="ES223" s="413"/>
      <c r="ET223" s="414"/>
      <c r="EU223" s="414"/>
      <c r="EV223" s="414"/>
      <c r="EW223" s="411"/>
      <c r="EX223" s="411"/>
      <c r="EY223" s="411"/>
      <c r="EZ223" s="421"/>
      <c r="FA223" s="413"/>
      <c r="FB223" s="414"/>
      <c r="FC223" s="414"/>
      <c r="FD223" s="414"/>
      <c r="FE223" s="411"/>
      <c r="FF223" s="411"/>
      <c r="FG223" s="411"/>
      <c r="FH223" s="421"/>
      <c r="FI223" s="413"/>
      <c r="FJ223" s="414"/>
      <c r="FK223" s="414"/>
      <c r="FL223" s="414"/>
      <c r="FM223" s="411"/>
      <c r="FN223" s="411"/>
      <c r="FO223" s="411"/>
      <c r="FP223" s="421"/>
      <c r="FQ223" s="413"/>
      <c r="FR223" s="414"/>
      <c r="FS223" s="414"/>
      <c r="FT223" s="414"/>
      <c r="FU223" s="411"/>
      <c r="FV223" s="411"/>
      <c r="FW223" s="411"/>
      <c r="FX223" s="421"/>
      <c r="FY223" s="413"/>
      <c r="FZ223" s="414"/>
      <c r="GA223" s="414"/>
      <c r="GB223" s="414"/>
      <c r="GC223" s="411"/>
      <c r="GD223" s="411"/>
      <c r="GE223" s="411"/>
      <c r="GF223" s="421"/>
      <c r="GG223" s="413"/>
      <c r="GH223" s="414"/>
      <c r="GI223" s="414"/>
      <c r="GJ223" s="414"/>
      <c r="GK223" s="411"/>
      <c r="GL223" s="411"/>
      <c r="GM223" s="411"/>
      <c r="GN223" s="421"/>
      <c r="GO223" s="413"/>
      <c r="GP223" s="414"/>
      <c r="GQ223" s="414"/>
      <c r="GR223" s="414"/>
      <c r="GS223" s="411"/>
      <c r="GT223" s="411"/>
      <c r="GU223" s="411"/>
      <c r="GV223" s="421"/>
      <c r="GW223" s="413"/>
      <c r="GX223" s="414"/>
      <c r="GY223" s="414"/>
      <c r="GZ223" s="414"/>
      <c r="HA223" s="411"/>
      <c r="HB223" s="411"/>
      <c r="HC223" s="411"/>
      <c r="HD223" s="421"/>
      <c r="HE223" s="413"/>
      <c r="HF223" s="414"/>
      <c r="HG223" s="414"/>
      <c r="HH223" s="414"/>
      <c r="HI223" s="411"/>
      <c r="HJ223" s="411"/>
      <c r="HK223" s="411"/>
      <c r="HL223" s="421"/>
      <c r="HM223" s="413"/>
      <c r="HN223" s="414"/>
      <c r="HO223" s="414"/>
      <c r="HP223" s="414"/>
      <c r="HQ223" s="411"/>
      <c r="HR223" s="411"/>
      <c r="HS223" s="411"/>
      <c r="HT223" s="421"/>
      <c r="HU223" s="413"/>
      <c r="HV223" s="414"/>
      <c r="HW223" s="414"/>
      <c r="HX223" s="414"/>
      <c r="HY223" s="411"/>
      <c r="HZ223" s="411"/>
      <c r="IA223" s="411"/>
      <c r="IB223" s="421"/>
      <c r="IC223" s="413"/>
      <c r="ID223" s="414"/>
      <c r="IE223" s="414"/>
      <c r="IF223" s="414"/>
      <c r="IG223" s="411"/>
      <c r="IH223" s="411"/>
      <c r="II223" s="411"/>
      <c r="IJ223" s="421"/>
      <c r="IK223" s="413"/>
      <c r="IL223" s="414"/>
      <c r="IM223" s="414"/>
      <c r="IN223" s="414"/>
      <c r="IO223" s="411"/>
      <c r="IP223" s="411"/>
      <c r="IQ223" s="411"/>
      <c r="IR223" s="421"/>
      <c r="IS223" s="413"/>
      <c r="IT223" s="414"/>
      <c r="IU223" s="414"/>
      <c r="IV223" s="414"/>
    </row>
    <row r="224" spans="1:256" ht="25.5" customHeight="1">
      <c r="A224" s="366" t="s">
        <v>248</v>
      </c>
      <c r="B224" s="367"/>
      <c r="C224" s="353" t="s">
        <v>192</v>
      </c>
      <c r="D224" s="353"/>
      <c r="E224" s="344">
        <v>0</v>
      </c>
      <c r="F224" s="344"/>
      <c r="G224" s="345">
        <v>0</v>
      </c>
      <c r="H224" s="346"/>
      <c r="I224" s="337"/>
      <c r="J224" s="458"/>
      <c r="K224" s="458"/>
      <c r="L224" s="459"/>
      <c r="M224" s="457"/>
      <c r="N224" s="457"/>
      <c r="O224" s="457"/>
      <c r="P224" s="457"/>
      <c r="Q224" s="419" t="s">
        <v>159</v>
      </c>
      <c r="R224" s="419"/>
      <c r="S224" s="420"/>
      <c r="T224" s="421"/>
      <c r="U224" s="413"/>
      <c r="V224" s="414"/>
      <c r="W224" s="414"/>
      <c r="X224" s="414"/>
      <c r="Y224" s="418" t="s">
        <v>159</v>
      </c>
      <c r="Z224" s="419"/>
      <c r="AA224" s="420"/>
      <c r="AB224" s="421"/>
      <c r="AC224" s="413"/>
      <c r="AD224" s="414"/>
      <c r="AE224" s="414"/>
      <c r="AF224" s="414"/>
      <c r="AG224" s="418" t="s">
        <v>159</v>
      </c>
      <c r="AH224" s="419"/>
      <c r="AI224" s="420"/>
      <c r="AJ224" s="421"/>
      <c r="AK224" s="413"/>
      <c r="AL224" s="414"/>
      <c r="AM224" s="414"/>
      <c r="AN224" s="414"/>
      <c r="AO224" s="418" t="s">
        <v>159</v>
      </c>
      <c r="AP224" s="419"/>
      <c r="AQ224" s="420"/>
      <c r="AR224" s="421"/>
      <c r="AS224" s="413"/>
      <c r="AT224" s="414"/>
      <c r="AU224" s="414"/>
      <c r="AV224" s="414"/>
      <c r="AW224" s="418" t="s">
        <v>159</v>
      </c>
      <c r="AX224" s="419"/>
      <c r="AY224" s="420"/>
      <c r="AZ224" s="421"/>
      <c r="BA224" s="413"/>
      <c r="BB224" s="414"/>
      <c r="BC224" s="414"/>
      <c r="BD224" s="414"/>
      <c r="BE224" s="418" t="s">
        <v>159</v>
      </c>
      <c r="BF224" s="419"/>
      <c r="BG224" s="420"/>
      <c r="BH224" s="421"/>
      <c r="BI224" s="413"/>
      <c r="BJ224" s="414"/>
      <c r="BK224" s="414"/>
      <c r="BL224" s="414"/>
      <c r="BM224" s="418" t="s">
        <v>159</v>
      </c>
      <c r="BN224" s="419"/>
      <c r="BO224" s="420"/>
      <c r="BP224" s="421"/>
      <c r="BQ224" s="413"/>
      <c r="BR224" s="414"/>
      <c r="BS224" s="414"/>
      <c r="BT224" s="414"/>
      <c r="BU224" s="418" t="s">
        <v>159</v>
      </c>
      <c r="BV224" s="419"/>
      <c r="BW224" s="420"/>
      <c r="BX224" s="421"/>
      <c r="BY224" s="413"/>
      <c r="BZ224" s="414"/>
      <c r="CA224" s="414"/>
      <c r="CB224" s="414"/>
      <c r="CC224" s="418" t="s">
        <v>159</v>
      </c>
      <c r="CD224" s="419"/>
      <c r="CE224" s="420"/>
      <c r="CF224" s="421"/>
      <c r="CG224" s="413"/>
      <c r="CH224" s="414"/>
      <c r="CI224" s="414"/>
      <c r="CJ224" s="414"/>
      <c r="CK224" s="418" t="s">
        <v>159</v>
      </c>
      <c r="CL224" s="419"/>
      <c r="CM224" s="420"/>
      <c r="CN224" s="421"/>
      <c r="CO224" s="413"/>
      <c r="CP224" s="414"/>
      <c r="CQ224" s="414"/>
      <c r="CR224" s="414"/>
      <c r="CS224" s="418" t="s">
        <v>159</v>
      </c>
      <c r="CT224" s="419"/>
      <c r="CU224" s="420"/>
      <c r="CV224" s="421"/>
      <c r="CW224" s="413"/>
      <c r="CX224" s="414"/>
      <c r="CY224" s="414"/>
      <c r="CZ224" s="414"/>
      <c r="DA224" s="418" t="s">
        <v>159</v>
      </c>
      <c r="DB224" s="419"/>
      <c r="DC224" s="420"/>
      <c r="DD224" s="421"/>
      <c r="DE224" s="413"/>
      <c r="DF224" s="414"/>
      <c r="DG224" s="414"/>
      <c r="DH224" s="414"/>
      <c r="DI224" s="418" t="s">
        <v>159</v>
      </c>
      <c r="DJ224" s="419"/>
      <c r="DK224" s="420"/>
      <c r="DL224" s="421"/>
      <c r="DM224" s="413"/>
      <c r="DN224" s="414"/>
      <c r="DO224" s="414"/>
      <c r="DP224" s="414"/>
      <c r="DQ224" s="418" t="s">
        <v>159</v>
      </c>
      <c r="DR224" s="419"/>
      <c r="DS224" s="420"/>
      <c r="DT224" s="421"/>
      <c r="DU224" s="413"/>
      <c r="DV224" s="414"/>
      <c r="DW224" s="414"/>
      <c r="DX224" s="414"/>
      <c r="DY224" s="418" t="s">
        <v>159</v>
      </c>
      <c r="DZ224" s="419"/>
      <c r="EA224" s="420"/>
      <c r="EB224" s="421"/>
      <c r="EC224" s="413"/>
      <c r="ED224" s="414"/>
      <c r="EE224" s="414"/>
      <c r="EF224" s="414"/>
      <c r="EG224" s="418" t="s">
        <v>159</v>
      </c>
      <c r="EH224" s="419"/>
      <c r="EI224" s="420"/>
      <c r="EJ224" s="421"/>
      <c r="EK224" s="413"/>
      <c r="EL224" s="414"/>
      <c r="EM224" s="414"/>
      <c r="EN224" s="414"/>
      <c r="EO224" s="418" t="s">
        <v>159</v>
      </c>
      <c r="EP224" s="419"/>
      <c r="EQ224" s="420"/>
      <c r="ER224" s="421"/>
      <c r="ES224" s="413"/>
      <c r="ET224" s="414"/>
      <c r="EU224" s="414"/>
      <c r="EV224" s="414"/>
      <c r="EW224" s="418" t="s">
        <v>159</v>
      </c>
      <c r="EX224" s="419"/>
      <c r="EY224" s="420"/>
      <c r="EZ224" s="421"/>
      <c r="FA224" s="413"/>
      <c r="FB224" s="414"/>
      <c r="FC224" s="414"/>
      <c r="FD224" s="414"/>
      <c r="FE224" s="418" t="s">
        <v>159</v>
      </c>
      <c r="FF224" s="419"/>
      <c r="FG224" s="420"/>
      <c r="FH224" s="421"/>
      <c r="FI224" s="413"/>
      <c r="FJ224" s="414"/>
      <c r="FK224" s="414"/>
      <c r="FL224" s="414"/>
      <c r="FM224" s="418" t="s">
        <v>159</v>
      </c>
      <c r="FN224" s="419"/>
      <c r="FO224" s="420"/>
      <c r="FP224" s="421"/>
      <c r="FQ224" s="413"/>
      <c r="FR224" s="414"/>
      <c r="FS224" s="414"/>
      <c r="FT224" s="414"/>
      <c r="FU224" s="418" t="s">
        <v>159</v>
      </c>
      <c r="FV224" s="419"/>
      <c r="FW224" s="420"/>
      <c r="FX224" s="421"/>
      <c r="FY224" s="413"/>
      <c r="FZ224" s="414"/>
      <c r="GA224" s="414"/>
      <c r="GB224" s="414"/>
      <c r="GC224" s="418" t="s">
        <v>159</v>
      </c>
      <c r="GD224" s="419"/>
      <c r="GE224" s="420"/>
      <c r="GF224" s="421"/>
      <c r="GG224" s="413"/>
      <c r="GH224" s="414"/>
      <c r="GI224" s="414"/>
      <c r="GJ224" s="414"/>
      <c r="GK224" s="418" t="s">
        <v>159</v>
      </c>
      <c r="GL224" s="419"/>
      <c r="GM224" s="420"/>
      <c r="GN224" s="421"/>
      <c r="GO224" s="413"/>
      <c r="GP224" s="414"/>
      <c r="GQ224" s="414"/>
      <c r="GR224" s="414"/>
      <c r="GS224" s="418" t="s">
        <v>159</v>
      </c>
      <c r="GT224" s="419"/>
      <c r="GU224" s="420"/>
      <c r="GV224" s="421"/>
      <c r="GW224" s="413"/>
      <c r="GX224" s="414"/>
      <c r="GY224" s="414"/>
      <c r="GZ224" s="414"/>
      <c r="HA224" s="418" t="s">
        <v>159</v>
      </c>
      <c r="HB224" s="419"/>
      <c r="HC224" s="420"/>
      <c r="HD224" s="421"/>
      <c r="HE224" s="413"/>
      <c r="HF224" s="414"/>
      <c r="HG224" s="414"/>
      <c r="HH224" s="414"/>
      <c r="HI224" s="418" t="s">
        <v>159</v>
      </c>
      <c r="HJ224" s="419"/>
      <c r="HK224" s="420"/>
      <c r="HL224" s="421"/>
      <c r="HM224" s="413"/>
      <c r="HN224" s="414"/>
      <c r="HO224" s="414"/>
      <c r="HP224" s="414"/>
      <c r="HQ224" s="418" t="s">
        <v>159</v>
      </c>
      <c r="HR224" s="419"/>
      <c r="HS224" s="420"/>
      <c r="HT224" s="421"/>
      <c r="HU224" s="413"/>
      <c r="HV224" s="414"/>
      <c r="HW224" s="414"/>
      <c r="HX224" s="414"/>
      <c r="HY224" s="418" t="s">
        <v>159</v>
      </c>
      <c r="HZ224" s="419"/>
      <c r="IA224" s="420"/>
      <c r="IB224" s="421"/>
      <c r="IC224" s="413"/>
      <c r="ID224" s="414"/>
      <c r="IE224" s="414"/>
      <c r="IF224" s="414"/>
      <c r="IG224" s="418" t="s">
        <v>159</v>
      </c>
      <c r="IH224" s="419"/>
      <c r="II224" s="420"/>
      <c r="IJ224" s="421"/>
      <c r="IK224" s="413"/>
      <c r="IL224" s="414"/>
      <c r="IM224" s="414"/>
      <c r="IN224" s="414"/>
      <c r="IO224" s="418" t="s">
        <v>159</v>
      </c>
      <c r="IP224" s="419"/>
      <c r="IQ224" s="420"/>
      <c r="IR224" s="421"/>
      <c r="IS224" s="413"/>
      <c r="IT224" s="414"/>
      <c r="IU224" s="414"/>
      <c r="IV224" s="414"/>
    </row>
    <row r="225" spans="1:256" ht="25.5" customHeight="1">
      <c r="A225" s="366" t="s">
        <v>235</v>
      </c>
      <c r="B225" s="367"/>
      <c r="C225" s="356" t="s">
        <v>193</v>
      </c>
      <c r="D225" s="356"/>
      <c r="E225" s="351">
        <f>I180</f>
        <v>2558.8199999999997</v>
      </c>
      <c r="F225" s="352"/>
      <c r="G225" s="345">
        <f>ROUND((1/800)*E225,2)</f>
        <v>3.2</v>
      </c>
      <c r="H225" s="359"/>
      <c r="I225" s="337"/>
      <c r="J225" s="455"/>
      <c r="K225" s="455"/>
      <c r="L225" s="459"/>
      <c r="M225" s="457"/>
      <c r="N225" s="457"/>
      <c r="O225" s="457"/>
      <c r="P225" s="457"/>
      <c r="Q225" s="417"/>
      <c r="R225" s="411"/>
      <c r="S225" s="411"/>
      <c r="T225" s="421"/>
      <c r="U225" s="413"/>
      <c r="V225" s="414"/>
      <c r="W225" s="414"/>
      <c r="X225" s="414"/>
      <c r="Y225" s="411"/>
      <c r="Z225" s="411"/>
      <c r="AA225" s="411"/>
      <c r="AB225" s="421"/>
      <c r="AC225" s="413"/>
      <c r="AD225" s="414"/>
      <c r="AE225" s="414"/>
      <c r="AF225" s="414"/>
      <c r="AG225" s="411"/>
      <c r="AH225" s="411"/>
      <c r="AI225" s="411"/>
      <c r="AJ225" s="421"/>
      <c r="AK225" s="413"/>
      <c r="AL225" s="414"/>
      <c r="AM225" s="414"/>
      <c r="AN225" s="414"/>
      <c r="AO225" s="411"/>
      <c r="AP225" s="411"/>
      <c r="AQ225" s="411"/>
      <c r="AR225" s="421"/>
      <c r="AS225" s="413"/>
      <c r="AT225" s="414"/>
      <c r="AU225" s="414"/>
      <c r="AV225" s="414"/>
      <c r="AW225" s="411"/>
      <c r="AX225" s="411"/>
      <c r="AY225" s="411"/>
      <c r="AZ225" s="421"/>
      <c r="BA225" s="413"/>
      <c r="BB225" s="414"/>
      <c r="BC225" s="414"/>
      <c r="BD225" s="414"/>
      <c r="BE225" s="411"/>
      <c r="BF225" s="411"/>
      <c r="BG225" s="411"/>
      <c r="BH225" s="421"/>
      <c r="BI225" s="413"/>
      <c r="BJ225" s="414"/>
      <c r="BK225" s="414"/>
      <c r="BL225" s="414"/>
      <c r="BM225" s="411"/>
      <c r="BN225" s="411"/>
      <c r="BO225" s="411"/>
      <c r="BP225" s="421"/>
      <c r="BQ225" s="413"/>
      <c r="BR225" s="414"/>
      <c r="BS225" s="414"/>
      <c r="BT225" s="414"/>
      <c r="BU225" s="411"/>
      <c r="BV225" s="411"/>
      <c r="BW225" s="411"/>
      <c r="BX225" s="421"/>
      <c r="BY225" s="413"/>
      <c r="BZ225" s="414"/>
      <c r="CA225" s="414"/>
      <c r="CB225" s="414"/>
      <c r="CC225" s="411"/>
      <c r="CD225" s="411"/>
      <c r="CE225" s="411"/>
      <c r="CF225" s="421"/>
      <c r="CG225" s="413"/>
      <c r="CH225" s="414"/>
      <c r="CI225" s="414"/>
      <c r="CJ225" s="414"/>
      <c r="CK225" s="411"/>
      <c r="CL225" s="411"/>
      <c r="CM225" s="411"/>
      <c r="CN225" s="421"/>
      <c r="CO225" s="413"/>
      <c r="CP225" s="414"/>
      <c r="CQ225" s="414"/>
      <c r="CR225" s="414"/>
      <c r="CS225" s="411"/>
      <c r="CT225" s="411"/>
      <c r="CU225" s="411"/>
      <c r="CV225" s="421"/>
      <c r="CW225" s="413"/>
      <c r="CX225" s="414"/>
      <c r="CY225" s="414"/>
      <c r="CZ225" s="414"/>
      <c r="DA225" s="411"/>
      <c r="DB225" s="411"/>
      <c r="DC225" s="411"/>
      <c r="DD225" s="421"/>
      <c r="DE225" s="413"/>
      <c r="DF225" s="414"/>
      <c r="DG225" s="414"/>
      <c r="DH225" s="414"/>
      <c r="DI225" s="411"/>
      <c r="DJ225" s="411"/>
      <c r="DK225" s="411"/>
      <c r="DL225" s="421"/>
      <c r="DM225" s="413"/>
      <c r="DN225" s="414"/>
      <c r="DO225" s="414"/>
      <c r="DP225" s="414"/>
      <c r="DQ225" s="411"/>
      <c r="DR225" s="411"/>
      <c r="DS225" s="411"/>
      <c r="DT225" s="421"/>
      <c r="DU225" s="413"/>
      <c r="DV225" s="414"/>
      <c r="DW225" s="414"/>
      <c r="DX225" s="414"/>
      <c r="DY225" s="411"/>
      <c r="DZ225" s="411"/>
      <c r="EA225" s="411"/>
      <c r="EB225" s="421"/>
      <c r="EC225" s="413"/>
      <c r="ED225" s="414"/>
      <c r="EE225" s="414"/>
      <c r="EF225" s="414"/>
      <c r="EG225" s="411"/>
      <c r="EH225" s="411"/>
      <c r="EI225" s="411"/>
      <c r="EJ225" s="421"/>
      <c r="EK225" s="413"/>
      <c r="EL225" s="414"/>
      <c r="EM225" s="414"/>
      <c r="EN225" s="414"/>
      <c r="EO225" s="411"/>
      <c r="EP225" s="411"/>
      <c r="EQ225" s="411"/>
      <c r="ER225" s="421"/>
      <c r="ES225" s="413"/>
      <c r="ET225" s="414"/>
      <c r="EU225" s="414"/>
      <c r="EV225" s="414"/>
      <c r="EW225" s="411"/>
      <c r="EX225" s="411"/>
      <c r="EY225" s="411"/>
      <c r="EZ225" s="421"/>
      <c r="FA225" s="413"/>
      <c r="FB225" s="414"/>
      <c r="FC225" s="414"/>
      <c r="FD225" s="414"/>
      <c r="FE225" s="411"/>
      <c r="FF225" s="411"/>
      <c r="FG225" s="411"/>
      <c r="FH225" s="421"/>
      <c r="FI225" s="413"/>
      <c r="FJ225" s="414"/>
      <c r="FK225" s="414"/>
      <c r="FL225" s="414"/>
      <c r="FM225" s="411"/>
      <c r="FN225" s="411"/>
      <c r="FO225" s="411"/>
      <c r="FP225" s="421"/>
      <c r="FQ225" s="413"/>
      <c r="FR225" s="414"/>
      <c r="FS225" s="414"/>
      <c r="FT225" s="414"/>
      <c r="FU225" s="411"/>
      <c r="FV225" s="411"/>
      <c r="FW225" s="411"/>
      <c r="FX225" s="421"/>
      <c r="FY225" s="413"/>
      <c r="FZ225" s="414"/>
      <c r="GA225" s="414"/>
      <c r="GB225" s="414"/>
      <c r="GC225" s="411"/>
      <c r="GD225" s="411"/>
      <c r="GE225" s="411"/>
      <c r="GF225" s="421"/>
      <c r="GG225" s="413"/>
      <c r="GH225" s="414"/>
      <c r="GI225" s="414"/>
      <c r="GJ225" s="414"/>
      <c r="GK225" s="411"/>
      <c r="GL225" s="411"/>
      <c r="GM225" s="411"/>
      <c r="GN225" s="421"/>
      <c r="GO225" s="413"/>
      <c r="GP225" s="414"/>
      <c r="GQ225" s="414"/>
      <c r="GR225" s="414"/>
      <c r="GS225" s="411"/>
      <c r="GT225" s="411"/>
      <c r="GU225" s="411"/>
      <c r="GV225" s="421"/>
      <c r="GW225" s="413"/>
      <c r="GX225" s="414"/>
      <c r="GY225" s="414"/>
      <c r="GZ225" s="414"/>
      <c r="HA225" s="411"/>
      <c r="HB225" s="411"/>
      <c r="HC225" s="411"/>
      <c r="HD225" s="421"/>
      <c r="HE225" s="413"/>
      <c r="HF225" s="414"/>
      <c r="HG225" s="414"/>
      <c r="HH225" s="414"/>
      <c r="HI225" s="411"/>
      <c r="HJ225" s="411"/>
      <c r="HK225" s="411"/>
      <c r="HL225" s="421"/>
      <c r="HM225" s="413"/>
      <c r="HN225" s="414"/>
      <c r="HO225" s="414"/>
      <c r="HP225" s="414"/>
      <c r="HQ225" s="411"/>
      <c r="HR225" s="411"/>
      <c r="HS225" s="411"/>
      <c r="HT225" s="421"/>
      <c r="HU225" s="413"/>
      <c r="HV225" s="414"/>
      <c r="HW225" s="414"/>
      <c r="HX225" s="414"/>
      <c r="HY225" s="411"/>
      <c r="HZ225" s="411"/>
      <c r="IA225" s="411"/>
      <c r="IB225" s="421"/>
      <c r="IC225" s="413"/>
      <c r="ID225" s="414"/>
      <c r="IE225" s="414"/>
      <c r="IF225" s="414"/>
      <c r="IG225" s="411"/>
      <c r="IH225" s="411"/>
      <c r="II225" s="411"/>
      <c r="IJ225" s="421"/>
      <c r="IK225" s="413"/>
      <c r="IL225" s="414"/>
      <c r="IM225" s="414"/>
      <c r="IN225" s="414"/>
      <c r="IO225" s="411"/>
      <c r="IP225" s="411"/>
      <c r="IQ225" s="411"/>
      <c r="IR225" s="421"/>
      <c r="IS225" s="413"/>
      <c r="IT225" s="414"/>
      <c r="IU225" s="414"/>
      <c r="IV225" s="414"/>
    </row>
    <row r="226" spans="1:256" ht="14.25" customHeight="1">
      <c r="A226" s="347" t="s">
        <v>134</v>
      </c>
      <c r="B226" s="348"/>
      <c r="C226" s="349"/>
      <c r="D226" s="349"/>
      <c r="E226" s="349"/>
      <c r="F226" s="350"/>
      <c r="G226" s="401">
        <f>SUM(G224+G225)</f>
        <v>3.2</v>
      </c>
      <c r="H226" s="402"/>
      <c r="I226" s="403"/>
      <c r="J226" s="455"/>
      <c r="K226" s="455"/>
      <c r="L226" s="459"/>
      <c r="M226" s="457"/>
      <c r="N226" s="457"/>
      <c r="O226" s="457"/>
      <c r="P226" s="457"/>
      <c r="Q226" s="417"/>
      <c r="R226" s="411"/>
      <c r="S226" s="411"/>
      <c r="T226" s="421"/>
      <c r="U226" s="413"/>
      <c r="V226" s="414"/>
      <c r="W226" s="414"/>
      <c r="X226" s="414"/>
      <c r="Y226" s="411"/>
      <c r="Z226" s="411"/>
      <c r="AA226" s="411"/>
      <c r="AB226" s="421"/>
      <c r="AC226" s="413"/>
      <c r="AD226" s="414"/>
      <c r="AE226" s="414"/>
      <c r="AF226" s="414"/>
      <c r="AG226" s="411"/>
      <c r="AH226" s="411"/>
      <c r="AI226" s="411"/>
      <c r="AJ226" s="421"/>
      <c r="AK226" s="413"/>
      <c r="AL226" s="414"/>
      <c r="AM226" s="414"/>
      <c r="AN226" s="414"/>
      <c r="AO226" s="411"/>
      <c r="AP226" s="411"/>
      <c r="AQ226" s="411"/>
      <c r="AR226" s="421"/>
      <c r="AS226" s="413"/>
      <c r="AT226" s="414"/>
      <c r="AU226" s="414"/>
      <c r="AV226" s="414"/>
      <c r="AW226" s="411"/>
      <c r="AX226" s="411"/>
      <c r="AY226" s="411"/>
      <c r="AZ226" s="421"/>
      <c r="BA226" s="413"/>
      <c r="BB226" s="414"/>
      <c r="BC226" s="414"/>
      <c r="BD226" s="414"/>
      <c r="BE226" s="411"/>
      <c r="BF226" s="411"/>
      <c r="BG226" s="411"/>
      <c r="BH226" s="421"/>
      <c r="BI226" s="413"/>
      <c r="BJ226" s="414"/>
      <c r="BK226" s="414"/>
      <c r="BL226" s="414"/>
      <c r="BM226" s="411"/>
      <c r="BN226" s="411"/>
      <c r="BO226" s="411"/>
      <c r="BP226" s="421"/>
      <c r="BQ226" s="413"/>
      <c r="BR226" s="414"/>
      <c r="BS226" s="414"/>
      <c r="BT226" s="414"/>
      <c r="BU226" s="411"/>
      <c r="BV226" s="411"/>
      <c r="BW226" s="411"/>
      <c r="BX226" s="421"/>
      <c r="BY226" s="413"/>
      <c r="BZ226" s="414"/>
      <c r="CA226" s="414"/>
      <c r="CB226" s="414"/>
      <c r="CC226" s="411"/>
      <c r="CD226" s="411"/>
      <c r="CE226" s="411"/>
      <c r="CF226" s="421"/>
      <c r="CG226" s="413"/>
      <c r="CH226" s="414"/>
      <c r="CI226" s="414"/>
      <c r="CJ226" s="414"/>
      <c r="CK226" s="411"/>
      <c r="CL226" s="411"/>
      <c r="CM226" s="411"/>
      <c r="CN226" s="421"/>
      <c r="CO226" s="413"/>
      <c r="CP226" s="414"/>
      <c r="CQ226" s="414"/>
      <c r="CR226" s="414"/>
      <c r="CS226" s="411"/>
      <c r="CT226" s="411"/>
      <c r="CU226" s="411"/>
      <c r="CV226" s="421"/>
      <c r="CW226" s="413"/>
      <c r="CX226" s="414"/>
      <c r="CY226" s="414"/>
      <c r="CZ226" s="414"/>
      <c r="DA226" s="411"/>
      <c r="DB226" s="411"/>
      <c r="DC226" s="411"/>
      <c r="DD226" s="421"/>
      <c r="DE226" s="413"/>
      <c r="DF226" s="414"/>
      <c r="DG226" s="414"/>
      <c r="DH226" s="414"/>
      <c r="DI226" s="411"/>
      <c r="DJ226" s="411"/>
      <c r="DK226" s="411"/>
      <c r="DL226" s="421"/>
      <c r="DM226" s="413"/>
      <c r="DN226" s="414"/>
      <c r="DO226" s="414"/>
      <c r="DP226" s="414"/>
      <c r="DQ226" s="411"/>
      <c r="DR226" s="411"/>
      <c r="DS226" s="411"/>
      <c r="DT226" s="421"/>
      <c r="DU226" s="413"/>
      <c r="DV226" s="414"/>
      <c r="DW226" s="414"/>
      <c r="DX226" s="414"/>
      <c r="DY226" s="411"/>
      <c r="DZ226" s="411"/>
      <c r="EA226" s="411"/>
      <c r="EB226" s="421"/>
      <c r="EC226" s="413"/>
      <c r="ED226" s="414"/>
      <c r="EE226" s="414"/>
      <c r="EF226" s="414"/>
      <c r="EG226" s="411"/>
      <c r="EH226" s="411"/>
      <c r="EI226" s="411"/>
      <c r="EJ226" s="421"/>
      <c r="EK226" s="413"/>
      <c r="EL226" s="414"/>
      <c r="EM226" s="414"/>
      <c r="EN226" s="414"/>
      <c r="EO226" s="411"/>
      <c r="EP226" s="411"/>
      <c r="EQ226" s="411"/>
      <c r="ER226" s="421"/>
      <c r="ES226" s="413"/>
      <c r="ET226" s="414"/>
      <c r="EU226" s="414"/>
      <c r="EV226" s="414"/>
      <c r="EW226" s="411"/>
      <c r="EX226" s="411"/>
      <c r="EY226" s="411"/>
      <c r="EZ226" s="421"/>
      <c r="FA226" s="413"/>
      <c r="FB226" s="414"/>
      <c r="FC226" s="414"/>
      <c r="FD226" s="414"/>
      <c r="FE226" s="411"/>
      <c r="FF226" s="411"/>
      <c r="FG226" s="411"/>
      <c r="FH226" s="421"/>
      <c r="FI226" s="413"/>
      <c r="FJ226" s="414"/>
      <c r="FK226" s="414"/>
      <c r="FL226" s="414"/>
      <c r="FM226" s="411"/>
      <c r="FN226" s="411"/>
      <c r="FO226" s="411"/>
      <c r="FP226" s="421"/>
      <c r="FQ226" s="413"/>
      <c r="FR226" s="414"/>
      <c r="FS226" s="414"/>
      <c r="FT226" s="414"/>
      <c r="FU226" s="411"/>
      <c r="FV226" s="411"/>
      <c r="FW226" s="411"/>
      <c r="FX226" s="421"/>
      <c r="FY226" s="413"/>
      <c r="FZ226" s="414"/>
      <c r="GA226" s="414"/>
      <c r="GB226" s="414"/>
      <c r="GC226" s="411"/>
      <c r="GD226" s="411"/>
      <c r="GE226" s="411"/>
      <c r="GF226" s="421"/>
      <c r="GG226" s="413"/>
      <c r="GH226" s="414"/>
      <c r="GI226" s="414"/>
      <c r="GJ226" s="414"/>
      <c r="GK226" s="411"/>
      <c r="GL226" s="411"/>
      <c r="GM226" s="411"/>
      <c r="GN226" s="421"/>
      <c r="GO226" s="413"/>
      <c r="GP226" s="414"/>
      <c r="GQ226" s="414"/>
      <c r="GR226" s="414"/>
      <c r="GS226" s="411"/>
      <c r="GT226" s="411"/>
      <c r="GU226" s="411"/>
      <c r="GV226" s="421"/>
      <c r="GW226" s="413"/>
      <c r="GX226" s="414"/>
      <c r="GY226" s="414"/>
      <c r="GZ226" s="414"/>
      <c r="HA226" s="411"/>
      <c r="HB226" s="411"/>
      <c r="HC226" s="411"/>
      <c r="HD226" s="421"/>
      <c r="HE226" s="413"/>
      <c r="HF226" s="414"/>
      <c r="HG226" s="414"/>
      <c r="HH226" s="414"/>
      <c r="HI226" s="411"/>
      <c r="HJ226" s="411"/>
      <c r="HK226" s="411"/>
      <c r="HL226" s="421"/>
      <c r="HM226" s="413"/>
      <c r="HN226" s="414"/>
      <c r="HO226" s="414"/>
      <c r="HP226" s="414"/>
      <c r="HQ226" s="411"/>
      <c r="HR226" s="411"/>
      <c r="HS226" s="411"/>
      <c r="HT226" s="421"/>
      <c r="HU226" s="413"/>
      <c r="HV226" s="414"/>
      <c r="HW226" s="414"/>
      <c r="HX226" s="414"/>
      <c r="HY226" s="411"/>
      <c r="HZ226" s="411"/>
      <c r="IA226" s="411"/>
      <c r="IB226" s="421"/>
      <c r="IC226" s="413"/>
      <c r="ID226" s="414"/>
      <c r="IE226" s="414"/>
      <c r="IF226" s="414"/>
      <c r="IG226" s="411"/>
      <c r="IH226" s="411"/>
      <c r="II226" s="411"/>
      <c r="IJ226" s="421"/>
      <c r="IK226" s="413"/>
      <c r="IL226" s="414"/>
      <c r="IM226" s="414"/>
      <c r="IN226" s="414"/>
      <c r="IO226" s="411"/>
      <c r="IP226" s="411"/>
      <c r="IQ226" s="411"/>
      <c r="IR226" s="421"/>
      <c r="IS226" s="413"/>
      <c r="IT226" s="414"/>
      <c r="IU226" s="414"/>
      <c r="IV226" s="414"/>
    </row>
    <row r="227" spans="1:256" ht="9" customHeight="1">
      <c r="A227" s="593"/>
      <c r="B227" s="594"/>
      <c r="C227" s="407"/>
      <c r="D227" s="407"/>
      <c r="E227" s="407"/>
      <c r="F227" s="407"/>
      <c r="G227" s="407"/>
      <c r="H227" s="407"/>
      <c r="I227" s="467"/>
      <c r="J227" s="455"/>
      <c r="K227" s="455"/>
      <c r="L227" s="459"/>
      <c r="M227" s="457"/>
      <c r="N227" s="457"/>
      <c r="O227" s="457"/>
      <c r="P227" s="457"/>
      <c r="Q227" s="417"/>
      <c r="R227" s="411"/>
      <c r="S227" s="411"/>
      <c r="T227" s="421"/>
      <c r="U227" s="413"/>
      <c r="V227" s="414"/>
      <c r="W227" s="414"/>
      <c r="X227" s="414"/>
      <c r="Y227" s="411"/>
      <c r="Z227" s="411"/>
      <c r="AA227" s="411"/>
      <c r="AB227" s="421"/>
      <c r="AC227" s="413"/>
      <c r="AD227" s="414"/>
      <c r="AE227" s="414"/>
      <c r="AF227" s="414"/>
      <c r="AG227" s="411"/>
      <c r="AH227" s="411"/>
      <c r="AI227" s="411"/>
      <c r="AJ227" s="421"/>
      <c r="AK227" s="413"/>
      <c r="AL227" s="414"/>
      <c r="AM227" s="414"/>
      <c r="AN227" s="414"/>
      <c r="AO227" s="411"/>
      <c r="AP227" s="411"/>
      <c r="AQ227" s="411"/>
      <c r="AR227" s="421"/>
      <c r="AS227" s="413"/>
      <c r="AT227" s="414"/>
      <c r="AU227" s="414"/>
      <c r="AV227" s="414"/>
      <c r="AW227" s="411"/>
      <c r="AX227" s="411"/>
      <c r="AY227" s="411"/>
      <c r="AZ227" s="421"/>
      <c r="BA227" s="413"/>
      <c r="BB227" s="414"/>
      <c r="BC227" s="414"/>
      <c r="BD227" s="414"/>
      <c r="BE227" s="411"/>
      <c r="BF227" s="411"/>
      <c r="BG227" s="411"/>
      <c r="BH227" s="421"/>
      <c r="BI227" s="413"/>
      <c r="BJ227" s="414"/>
      <c r="BK227" s="414"/>
      <c r="BL227" s="414"/>
      <c r="BM227" s="411"/>
      <c r="BN227" s="411"/>
      <c r="BO227" s="411"/>
      <c r="BP227" s="421"/>
      <c r="BQ227" s="413"/>
      <c r="BR227" s="414"/>
      <c r="BS227" s="414"/>
      <c r="BT227" s="414"/>
      <c r="BU227" s="411"/>
      <c r="BV227" s="411"/>
      <c r="BW227" s="411"/>
      <c r="BX227" s="421"/>
      <c r="BY227" s="413"/>
      <c r="BZ227" s="414"/>
      <c r="CA227" s="414"/>
      <c r="CB227" s="414"/>
      <c r="CC227" s="411"/>
      <c r="CD227" s="411"/>
      <c r="CE227" s="411"/>
      <c r="CF227" s="421"/>
      <c r="CG227" s="413"/>
      <c r="CH227" s="414"/>
      <c r="CI227" s="414"/>
      <c r="CJ227" s="414"/>
      <c r="CK227" s="411"/>
      <c r="CL227" s="411"/>
      <c r="CM227" s="411"/>
      <c r="CN227" s="421"/>
      <c r="CO227" s="413"/>
      <c r="CP227" s="414"/>
      <c r="CQ227" s="414"/>
      <c r="CR227" s="414"/>
      <c r="CS227" s="411"/>
      <c r="CT227" s="411"/>
      <c r="CU227" s="411"/>
      <c r="CV227" s="421"/>
      <c r="CW227" s="413"/>
      <c r="CX227" s="414"/>
      <c r="CY227" s="414"/>
      <c r="CZ227" s="414"/>
      <c r="DA227" s="411"/>
      <c r="DB227" s="411"/>
      <c r="DC227" s="411"/>
      <c r="DD227" s="421"/>
      <c r="DE227" s="413"/>
      <c r="DF227" s="414"/>
      <c r="DG227" s="414"/>
      <c r="DH227" s="414"/>
      <c r="DI227" s="411"/>
      <c r="DJ227" s="411"/>
      <c r="DK227" s="411"/>
      <c r="DL227" s="421"/>
      <c r="DM227" s="413"/>
      <c r="DN227" s="414"/>
      <c r="DO227" s="414"/>
      <c r="DP227" s="414"/>
      <c r="DQ227" s="411"/>
      <c r="DR227" s="411"/>
      <c r="DS227" s="411"/>
      <c r="DT227" s="421"/>
      <c r="DU227" s="413"/>
      <c r="DV227" s="414"/>
      <c r="DW227" s="414"/>
      <c r="DX227" s="414"/>
      <c r="DY227" s="411"/>
      <c r="DZ227" s="411"/>
      <c r="EA227" s="411"/>
      <c r="EB227" s="421"/>
      <c r="EC227" s="413"/>
      <c r="ED227" s="414"/>
      <c r="EE227" s="414"/>
      <c r="EF227" s="414"/>
      <c r="EG227" s="411"/>
      <c r="EH227" s="411"/>
      <c r="EI227" s="411"/>
      <c r="EJ227" s="421"/>
      <c r="EK227" s="413"/>
      <c r="EL227" s="414"/>
      <c r="EM227" s="414"/>
      <c r="EN227" s="414"/>
      <c r="EO227" s="411"/>
      <c r="EP227" s="411"/>
      <c r="EQ227" s="411"/>
      <c r="ER227" s="421"/>
      <c r="ES227" s="413"/>
      <c r="ET227" s="414"/>
      <c r="EU227" s="414"/>
      <c r="EV227" s="414"/>
      <c r="EW227" s="411"/>
      <c r="EX227" s="411"/>
      <c r="EY227" s="411"/>
      <c r="EZ227" s="421"/>
      <c r="FA227" s="413"/>
      <c r="FB227" s="414"/>
      <c r="FC227" s="414"/>
      <c r="FD227" s="414"/>
      <c r="FE227" s="411"/>
      <c r="FF227" s="411"/>
      <c r="FG227" s="411"/>
      <c r="FH227" s="421"/>
      <c r="FI227" s="413"/>
      <c r="FJ227" s="414"/>
      <c r="FK227" s="414"/>
      <c r="FL227" s="414"/>
      <c r="FM227" s="411"/>
      <c r="FN227" s="411"/>
      <c r="FO227" s="411"/>
      <c r="FP227" s="421"/>
      <c r="FQ227" s="413"/>
      <c r="FR227" s="414"/>
      <c r="FS227" s="414"/>
      <c r="FT227" s="414"/>
      <c r="FU227" s="411"/>
      <c r="FV227" s="411"/>
      <c r="FW227" s="411"/>
      <c r="FX227" s="421"/>
      <c r="FY227" s="413"/>
      <c r="FZ227" s="414"/>
      <c r="GA227" s="414"/>
      <c r="GB227" s="414"/>
      <c r="GC227" s="411"/>
      <c r="GD227" s="411"/>
      <c r="GE227" s="411"/>
      <c r="GF227" s="421"/>
      <c r="GG227" s="413"/>
      <c r="GH227" s="414"/>
      <c r="GI227" s="414"/>
      <c r="GJ227" s="414"/>
      <c r="GK227" s="411"/>
      <c r="GL227" s="411"/>
      <c r="GM227" s="411"/>
      <c r="GN227" s="421"/>
      <c r="GO227" s="413"/>
      <c r="GP227" s="414"/>
      <c r="GQ227" s="414"/>
      <c r="GR227" s="414"/>
      <c r="GS227" s="411"/>
      <c r="GT227" s="411"/>
      <c r="GU227" s="411"/>
      <c r="GV227" s="421"/>
      <c r="GW227" s="413"/>
      <c r="GX227" s="414"/>
      <c r="GY227" s="414"/>
      <c r="GZ227" s="414"/>
      <c r="HA227" s="411"/>
      <c r="HB227" s="411"/>
      <c r="HC227" s="411"/>
      <c r="HD227" s="421"/>
      <c r="HE227" s="413"/>
      <c r="HF227" s="414"/>
      <c r="HG227" s="414"/>
      <c r="HH227" s="414"/>
      <c r="HI227" s="411"/>
      <c r="HJ227" s="411"/>
      <c r="HK227" s="411"/>
      <c r="HL227" s="421"/>
      <c r="HM227" s="413"/>
      <c r="HN227" s="414"/>
      <c r="HO227" s="414"/>
      <c r="HP227" s="414"/>
      <c r="HQ227" s="411"/>
      <c r="HR227" s="411"/>
      <c r="HS227" s="411"/>
      <c r="HT227" s="421"/>
      <c r="HU227" s="413"/>
      <c r="HV227" s="414"/>
      <c r="HW227" s="414"/>
      <c r="HX227" s="414"/>
      <c r="HY227" s="411"/>
      <c r="HZ227" s="411"/>
      <c r="IA227" s="411"/>
      <c r="IB227" s="421"/>
      <c r="IC227" s="413"/>
      <c r="ID227" s="414"/>
      <c r="IE227" s="414"/>
      <c r="IF227" s="414"/>
      <c r="IG227" s="411"/>
      <c r="IH227" s="411"/>
      <c r="II227" s="411"/>
      <c r="IJ227" s="421"/>
      <c r="IK227" s="413"/>
      <c r="IL227" s="414"/>
      <c r="IM227" s="414"/>
      <c r="IN227" s="414"/>
      <c r="IO227" s="411"/>
      <c r="IP227" s="411"/>
      <c r="IQ227" s="411"/>
      <c r="IR227" s="421"/>
      <c r="IS227" s="413"/>
      <c r="IT227" s="414"/>
      <c r="IU227" s="414"/>
      <c r="IV227" s="414"/>
    </row>
    <row r="228" spans="1:256" ht="44.25" customHeight="1">
      <c r="A228" s="434" t="s">
        <v>392</v>
      </c>
      <c r="B228" s="434"/>
      <c r="C228" s="434"/>
      <c r="D228" s="434"/>
      <c r="E228" s="434"/>
      <c r="F228" s="434"/>
      <c r="G228" s="434"/>
      <c r="H228" s="434"/>
      <c r="I228" s="435"/>
    </row>
    <row r="229" spans="1:256" ht="44.25" customHeight="1">
      <c r="A229" s="579" t="s">
        <v>257</v>
      </c>
      <c r="B229" s="580"/>
      <c r="C229" s="400" t="s">
        <v>151</v>
      </c>
      <c r="D229" s="400"/>
      <c r="E229" s="400" t="s">
        <v>152</v>
      </c>
      <c r="F229" s="400"/>
      <c r="G229" s="338" t="s">
        <v>150</v>
      </c>
      <c r="H229" s="339"/>
      <c r="I229" s="340"/>
    </row>
    <row r="230" spans="1:256" ht="39.75" customHeight="1">
      <c r="A230" s="360" t="s">
        <v>249</v>
      </c>
      <c r="B230" s="361"/>
      <c r="C230" s="377" t="s">
        <v>194</v>
      </c>
      <c r="D230" s="377"/>
      <c r="E230" s="341">
        <v>0</v>
      </c>
      <c r="F230" s="341"/>
      <c r="G230" s="341">
        <f>ROUND((1/1200)*E230,2)</f>
        <v>0</v>
      </c>
      <c r="H230" s="341"/>
      <c r="I230" s="397"/>
    </row>
    <row r="231" spans="1:256" ht="42" customHeight="1">
      <c r="A231" s="360" t="s">
        <v>236</v>
      </c>
      <c r="B231" s="361"/>
      <c r="C231" s="377" t="s">
        <v>191</v>
      </c>
      <c r="D231" s="377"/>
      <c r="E231" s="341">
        <f>I180</f>
        <v>2558.8199999999997</v>
      </c>
      <c r="F231" s="341"/>
      <c r="G231" s="341">
        <f>ROUND((1/1200)*E231,2)</f>
        <v>2.13</v>
      </c>
      <c r="H231" s="341"/>
      <c r="I231" s="397"/>
      <c r="J231" s="17"/>
    </row>
    <row r="232" spans="1:256" ht="16.5" customHeight="1">
      <c r="A232" s="370" t="s">
        <v>134</v>
      </c>
      <c r="B232" s="371"/>
      <c r="C232" s="372"/>
      <c r="D232" s="372"/>
      <c r="E232" s="372"/>
      <c r="F232" s="373"/>
      <c r="G232" s="469">
        <f>SUM(G230+G231)</f>
        <v>2.13</v>
      </c>
      <c r="H232" s="470"/>
      <c r="I232" s="471"/>
      <c r="J232" s="17"/>
    </row>
    <row r="233" spans="1:256" ht="8.25" customHeight="1">
      <c r="A233" s="378"/>
      <c r="B233" s="379"/>
      <c r="C233" s="380"/>
      <c r="D233" s="380"/>
      <c r="E233" s="380"/>
      <c r="F233" s="380"/>
      <c r="G233" s="380"/>
      <c r="H233" s="380"/>
      <c r="I233" s="337"/>
    </row>
    <row r="234" spans="1:256" ht="27.75" customHeight="1">
      <c r="A234" s="436" t="s">
        <v>250</v>
      </c>
      <c r="B234" s="437"/>
      <c r="C234" s="369" t="s">
        <v>195</v>
      </c>
      <c r="D234" s="369"/>
      <c r="E234" s="344">
        <v>0</v>
      </c>
      <c r="F234" s="344"/>
      <c r="G234" s="335">
        <f>ROUND((1/1200)*E234,2)</f>
        <v>0</v>
      </c>
      <c r="H234" s="336"/>
      <c r="I234" s="337"/>
    </row>
    <row r="235" spans="1:256" ht="27" customHeight="1">
      <c r="A235" s="360" t="s">
        <v>237</v>
      </c>
      <c r="B235" s="361"/>
      <c r="C235" s="381" t="s">
        <v>196</v>
      </c>
      <c r="D235" s="382"/>
      <c r="E235" s="341">
        <f>I180</f>
        <v>2558.8199999999997</v>
      </c>
      <c r="F235" s="341"/>
      <c r="G235" s="335">
        <f>ROUND((1/6000)*E235,2)</f>
        <v>0.43</v>
      </c>
      <c r="H235" s="336"/>
      <c r="I235" s="337"/>
    </row>
    <row r="236" spans="1:256" ht="16.5" customHeight="1">
      <c r="A236" s="370" t="s">
        <v>134</v>
      </c>
      <c r="B236" s="371"/>
      <c r="C236" s="372"/>
      <c r="D236" s="372"/>
      <c r="E236" s="372"/>
      <c r="F236" s="373"/>
      <c r="G236" s="357">
        <f>SUM(G234+G235)</f>
        <v>0.43</v>
      </c>
      <c r="H236" s="358"/>
      <c r="I236" s="340"/>
    </row>
    <row r="237" spans="1:256" ht="7.5" customHeight="1">
      <c r="A237" s="374"/>
      <c r="B237" s="375"/>
      <c r="C237" s="376"/>
      <c r="D237" s="376"/>
      <c r="E237" s="376"/>
      <c r="F237" s="376"/>
      <c r="G237" s="376"/>
      <c r="H237" s="376"/>
      <c r="I237" s="337"/>
    </row>
    <row r="238" spans="1:256" ht="34.5" customHeight="1">
      <c r="A238" s="404" t="s">
        <v>251</v>
      </c>
      <c r="B238" s="404"/>
      <c r="C238" s="369" t="s">
        <v>194</v>
      </c>
      <c r="D238" s="369"/>
      <c r="E238" s="344">
        <v>0</v>
      </c>
      <c r="F238" s="344"/>
      <c r="G238" s="341">
        <f>ROUND((1/1200)*E238,2)</f>
        <v>0</v>
      </c>
      <c r="H238" s="341"/>
      <c r="I238" s="397"/>
    </row>
    <row r="239" spans="1:256" ht="30" customHeight="1">
      <c r="A239" s="428" t="s">
        <v>238</v>
      </c>
      <c r="B239" s="428"/>
      <c r="C239" s="377" t="s">
        <v>191</v>
      </c>
      <c r="D239" s="377"/>
      <c r="E239" s="341">
        <f>I180</f>
        <v>2558.8199999999997</v>
      </c>
      <c r="F239" s="341"/>
      <c r="G239" s="341">
        <f>ROUND((1/1200)*E239,2)</f>
        <v>2.13</v>
      </c>
      <c r="H239" s="341"/>
      <c r="I239" s="397"/>
    </row>
    <row r="240" spans="1:256" ht="15.75" customHeight="1">
      <c r="A240" s="370" t="s">
        <v>134</v>
      </c>
      <c r="B240" s="371"/>
      <c r="C240" s="372"/>
      <c r="D240" s="372"/>
      <c r="E240" s="372"/>
      <c r="F240" s="373"/>
      <c r="G240" s="357">
        <f>SUM(G238+G239)</f>
        <v>2.13</v>
      </c>
      <c r="H240" s="358"/>
      <c r="I240" s="340"/>
    </row>
    <row r="241" spans="1:9" ht="6.75" customHeight="1">
      <c r="A241" s="374"/>
      <c r="B241" s="375"/>
      <c r="C241" s="376"/>
      <c r="D241" s="376"/>
      <c r="E241" s="376"/>
      <c r="F241" s="376"/>
      <c r="G241" s="376"/>
      <c r="H241" s="376"/>
      <c r="I241" s="337"/>
    </row>
    <row r="242" spans="1:9" ht="36" customHeight="1">
      <c r="A242" s="404" t="s">
        <v>213</v>
      </c>
      <c r="B242" s="404"/>
      <c r="C242" s="369" t="s">
        <v>194</v>
      </c>
      <c r="D242" s="369"/>
      <c r="E242" s="344">
        <v>0</v>
      </c>
      <c r="F242" s="344"/>
      <c r="G242" s="335">
        <f>ROUND((1/1200)*E242,2)</f>
        <v>0</v>
      </c>
      <c r="H242" s="336"/>
      <c r="I242" s="337"/>
    </row>
    <row r="243" spans="1:9" ht="36" customHeight="1">
      <c r="A243" s="428" t="s">
        <v>239</v>
      </c>
      <c r="B243" s="428"/>
      <c r="C243" s="377" t="s">
        <v>191</v>
      </c>
      <c r="D243" s="377"/>
      <c r="E243" s="341">
        <f>I180</f>
        <v>2558.8199999999997</v>
      </c>
      <c r="F243" s="341"/>
      <c r="G243" s="335">
        <f>ROUND((1/1200)*E243,2)</f>
        <v>2.13</v>
      </c>
      <c r="H243" s="336"/>
      <c r="I243" s="337"/>
    </row>
    <row r="244" spans="1:9" ht="13.5" customHeight="1">
      <c r="A244" s="370" t="s">
        <v>134</v>
      </c>
      <c r="B244" s="371"/>
      <c r="C244" s="372"/>
      <c r="D244" s="372"/>
      <c r="E244" s="372"/>
      <c r="F244" s="373"/>
      <c r="G244" s="357">
        <f>SUM(G242+G243)</f>
        <v>2.13</v>
      </c>
      <c r="H244" s="358"/>
      <c r="I244" s="340"/>
    </row>
    <row r="245" spans="1:9" ht="6.75" customHeight="1">
      <c r="A245" s="448"/>
      <c r="B245" s="449"/>
      <c r="C245" s="376"/>
      <c r="D245" s="376"/>
      <c r="E245" s="376"/>
      <c r="F245" s="376"/>
      <c r="G245" s="376"/>
      <c r="H245" s="376"/>
      <c r="I245" s="337"/>
    </row>
    <row r="246" spans="1:9" ht="30.75" customHeight="1">
      <c r="A246" s="404" t="s">
        <v>252</v>
      </c>
      <c r="B246" s="404"/>
      <c r="C246" s="369" t="s">
        <v>194</v>
      </c>
      <c r="D246" s="369"/>
      <c r="E246" s="344">
        <v>0</v>
      </c>
      <c r="F246" s="344"/>
      <c r="G246" s="335">
        <f>ROUND((1/1200)*E246,2)</f>
        <v>0</v>
      </c>
      <c r="H246" s="336"/>
      <c r="I246" s="337"/>
    </row>
    <row r="247" spans="1:9" ht="28.5" customHeight="1">
      <c r="A247" s="429" t="s">
        <v>240</v>
      </c>
      <c r="B247" s="429"/>
      <c r="C247" s="377" t="s">
        <v>191</v>
      </c>
      <c r="D247" s="377"/>
      <c r="E247" s="430">
        <f>I180</f>
        <v>2558.8199999999997</v>
      </c>
      <c r="F247" s="430"/>
      <c r="G247" s="335">
        <f>ROUND((1/1200)*E247,2)</f>
        <v>2.13</v>
      </c>
      <c r="H247" s="336"/>
      <c r="I247" s="337"/>
    </row>
    <row r="248" spans="1:9" ht="18" customHeight="1">
      <c r="A248" s="385" t="s">
        <v>134</v>
      </c>
      <c r="B248" s="386"/>
      <c r="C248" s="387"/>
      <c r="D248" s="387"/>
      <c r="E248" s="387"/>
      <c r="F248" s="396"/>
      <c r="G248" s="401">
        <f>SUM(G246+G247)</f>
        <v>2.13</v>
      </c>
      <c r="H248" s="402"/>
      <c r="I248" s="403"/>
    </row>
    <row r="249" spans="1:9" ht="12.75">
      <c r="A249" s="374"/>
      <c r="B249" s="375"/>
      <c r="C249" s="376"/>
      <c r="D249" s="376"/>
      <c r="E249" s="376"/>
      <c r="F249" s="376"/>
      <c r="G249" s="376"/>
      <c r="H249" s="376"/>
      <c r="I249" s="337"/>
    </row>
    <row r="250" spans="1:9" ht="39.75" customHeight="1">
      <c r="A250" s="404" t="s">
        <v>253</v>
      </c>
      <c r="B250" s="404"/>
      <c r="C250" s="369" t="s">
        <v>197</v>
      </c>
      <c r="D250" s="369"/>
      <c r="E250" s="344">
        <v>0</v>
      </c>
      <c r="F250" s="344"/>
      <c r="G250" s="335">
        <f>ROUND((1/1200)*E250,2)</f>
        <v>0</v>
      </c>
      <c r="H250" s="336"/>
      <c r="I250" s="337"/>
    </row>
    <row r="251" spans="1:9" ht="36.75" customHeight="1">
      <c r="A251" s="428" t="s">
        <v>241</v>
      </c>
      <c r="B251" s="428"/>
      <c r="C251" s="377" t="s">
        <v>198</v>
      </c>
      <c r="D251" s="377"/>
      <c r="E251" s="341">
        <f>I180</f>
        <v>2558.8199999999997</v>
      </c>
      <c r="F251" s="341"/>
      <c r="G251" s="335">
        <f>ROUND((1/100000)*E251,2)</f>
        <v>0.03</v>
      </c>
      <c r="H251" s="336"/>
      <c r="I251" s="337"/>
    </row>
    <row r="252" spans="1:9" ht="15.75" customHeight="1">
      <c r="A252" s="370" t="s">
        <v>134</v>
      </c>
      <c r="B252" s="371"/>
      <c r="C252" s="372"/>
      <c r="D252" s="372"/>
      <c r="E252" s="372"/>
      <c r="F252" s="373"/>
      <c r="G252" s="357">
        <f>SUM(G250+G251)</f>
        <v>0.03</v>
      </c>
      <c r="H252" s="358"/>
      <c r="I252" s="340"/>
    </row>
    <row r="253" spans="1:9" ht="12.75">
      <c r="A253" s="374"/>
      <c r="B253" s="375"/>
      <c r="C253" s="376"/>
      <c r="D253" s="376"/>
      <c r="E253" s="376"/>
      <c r="F253" s="376"/>
      <c r="G253" s="376"/>
      <c r="H253" s="376"/>
      <c r="I253" s="337"/>
    </row>
    <row r="254" spans="1:9" ht="12" customHeight="1">
      <c r="A254" s="422" t="s">
        <v>398</v>
      </c>
      <c r="B254" s="423"/>
      <c r="C254" s="423"/>
      <c r="D254" s="423"/>
      <c r="E254" s="423"/>
      <c r="F254" s="423"/>
      <c r="G254" s="423"/>
      <c r="H254" s="423"/>
      <c r="I254" s="424"/>
    </row>
    <row r="255" spans="1:9" ht="36.75" customHeight="1">
      <c r="A255" s="425"/>
      <c r="B255" s="426"/>
      <c r="C255" s="426"/>
      <c r="D255" s="426"/>
      <c r="E255" s="426"/>
      <c r="F255" s="426"/>
      <c r="G255" s="426"/>
      <c r="H255" s="426"/>
      <c r="I255" s="427"/>
    </row>
    <row r="256" spans="1:9" ht="69" customHeight="1">
      <c r="A256" s="36" t="s">
        <v>199</v>
      </c>
      <c r="B256" s="35" t="s">
        <v>200</v>
      </c>
      <c r="C256" s="35" t="s">
        <v>135</v>
      </c>
      <c r="D256" s="400" t="s">
        <v>147</v>
      </c>
      <c r="E256" s="400"/>
      <c r="F256" s="35" t="s">
        <v>399</v>
      </c>
      <c r="G256" s="35" t="s">
        <v>201</v>
      </c>
      <c r="H256" s="338" t="s">
        <v>332</v>
      </c>
      <c r="I256" s="399"/>
    </row>
    <row r="257" spans="1:9" ht="63" customHeight="1">
      <c r="A257" s="79" t="s">
        <v>254</v>
      </c>
      <c r="B257" s="27" t="s">
        <v>202</v>
      </c>
      <c r="C257" s="28" t="s">
        <v>309</v>
      </c>
      <c r="D257" s="405" t="s">
        <v>153</v>
      </c>
      <c r="E257" s="405"/>
      <c r="F257" s="29">
        <f>ROUND((1/(30*110))*16*(1/191.4),7)</f>
        <v>2.5299999999999998E-5</v>
      </c>
      <c r="G257" s="34">
        <v>0</v>
      </c>
      <c r="H257" s="335">
        <v>0</v>
      </c>
      <c r="I257" s="398"/>
    </row>
    <row r="258" spans="1:9" ht="51">
      <c r="A258" s="79" t="s">
        <v>242</v>
      </c>
      <c r="B258" s="27" t="s">
        <v>203</v>
      </c>
      <c r="C258" s="28" t="s">
        <v>309</v>
      </c>
      <c r="D258" s="405" t="s">
        <v>153</v>
      </c>
      <c r="E258" s="405"/>
      <c r="F258" s="29">
        <f>ROUND((1/110)*16*(1/191.4),7)</f>
        <v>7.6000000000000004E-4</v>
      </c>
      <c r="G258" s="34">
        <f>I180</f>
        <v>2558.8199999999997</v>
      </c>
      <c r="H258" s="335">
        <f>ROUND(F258*G258,2)</f>
        <v>1.94</v>
      </c>
      <c r="I258" s="398"/>
    </row>
    <row r="259" spans="1:9" ht="12.75">
      <c r="A259" s="370" t="s">
        <v>134</v>
      </c>
      <c r="B259" s="371"/>
      <c r="C259" s="372"/>
      <c r="D259" s="372"/>
      <c r="E259" s="372"/>
      <c r="F259" s="372"/>
      <c r="G259" s="337"/>
      <c r="H259" s="335">
        <f>SUM(H257+H258)</f>
        <v>1.94</v>
      </c>
      <c r="I259" s="398"/>
    </row>
    <row r="260" spans="1:9" ht="7.5" customHeight="1">
      <c r="A260" s="406"/>
      <c r="B260" s="407"/>
      <c r="C260" s="407"/>
      <c r="D260" s="407"/>
      <c r="E260" s="407"/>
      <c r="F260" s="407"/>
      <c r="G260" s="407"/>
      <c r="H260" s="407"/>
      <c r="I260" s="408"/>
    </row>
    <row r="261" spans="1:9" ht="51">
      <c r="A261" s="79" t="s">
        <v>255</v>
      </c>
      <c r="B261" s="74" t="s">
        <v>310</v>
      </c>
      <c r="C261" s="28" t="s">
        <v>309</v>
      </c>
      <c r="D261" s="405" t="s">
        <v>153</v>
      </c>
      <c r="E261" s="405"/>
      <c r="F261" s="29">
        <f>ROUND((1/(30*220))*16*(1/191.4),7)</f>
        <v>1.27E-5</v>
      </c>
      <c r="G261" s="34">
        <v>0</v>
      </c>
      <c r="H261" s="335">
        <v>0</v>
      </c>
      <c r="I261" s="398"/>
    </row>
    <row r="262" spans="1:9" ht="51">
      <c r="A262" s="79" t="s">
        <v>243</v>
      </c>
      <c r="B262" s="27" t="s">
        <v>205</v>
      </c>
      <c r="C262" s="28" t="s">
        <v>309</v>
      </c>
      <c r="D262" s="405" t="s">
        <v>153</v>
      </c>
      <c r="E262" s="405"/>
      <c r="F262" s="29">
        <f>ROUND((1/220)*16*(1/191.4),7)</f>
        <v>3.8000000000000002E-4</v>
      </c>
      <c r="G262" s="34">
        <f>I180</f>
        <v>2558.8199999999997</v>
      </c>
      <c r="H262" s="335">
        <f>ROUND(F262*G262,2)</f>
        <v>0.97</v>
      </c>
      <c r="I262" s="398"/>
    </row>
    <row r="263" spans="1:9" ht="12.75">
      <c r="A263" s="370" t="s">
        <v>134</v>
      </c>
      <c r="B263" s="371"/>
      <c r="C263" s="372"/>
      <c r="D263" s="372"/>
      <c r="E263" s="372"/>
      <c r="F263" s="372"/>
      <c r="G263" s="337"/>
      <c r="H263" s="335">
        <f>SUM(H261+H262)</f>
        <v>0.97</v>
      </c>
      <c r="I263" s="398"/>
    </row>
    <row r="264" spans="1:9" ht="6.75" customHeight="1">
      <c r="A264" s="406"/>
      <c r="B264" s="407"/>
      <c r="C264" s="407"/>
      <c r="D264" s="407"/>
      <c r="E264" s="407"/>
      <c r="F264" s="407"/>
      <c r="G264" s="407"/>
      <c r="H264" s="407"/>
      <c r="I264" s="408"/>
    </row>
    <row r="265" spans="1:9" ht="24" customHeight="1">
      <c r="A265" s="79" t="s">
        <v>256</v>
      </c>
      <c r="B265" s="27" t="s">
        <v>204</v>
      </c>
      <c r="C265" s="28" t="s">
        <v>309</v>
      </c>
      <c r="D265" s="405" t="s">
        <v>153</v>
      </c>
      <c r="E265" s="405"/>
      <c r="F265" s="29">
        <f>ROUND((1/(30*220))*16*(1/191.4),7)</f>
        <v>1.27E-5</v>
      </c>
      <c r="G265" s="34">
        <v>0</v>
      </c>
      <c r="H265" s="335">
        <v>0</v>
      </c>
      <c r="I265" s="398"/>
    </row>
    <row r="266" spans="1:9" ht="25.5">
      <c r="A266" s="79" t="s">
        <v>244</v>
      </c>
      <c r="B266" s="20" t="s">
        <v>205</v>
      </c>
      <c r="C266" s="21" t="s">
        <v>309</v>
      </c>
      <c r="D266" s="405" t="s">
        <v>153</v>
      </c>
      <c r="E266" s="405"/>
      <c r="F266" s="29">
        <f>ROUND((1/220)*16*(1/191.4),7)</f>
        <v>3.8000000000000002E-4</v>
      </c>
      <c r="G266" s="34">
        <f>I180</f>
        <v>2558.8199999999997</v>
      </c>
      <c r="H266" s="335">
        <f>ROUND(F266*G266,2)</f>
        <v>0.97</v>
      </c>
      <c r="I266" s="398"/>
    </row>
    <row r="267" spans="1:9" ht="12.75">
      <c r="A267" s="385" t="s">
        <v>134</v>
      </c>
      <c r="B267" s="386"/>
      <c r="C267" s="387"/>
      <c r="D267" s="387"/>
      <c r="E267" s="387"/>
      <c r="F267" s="387"/>
      <c r="G267" s="388"/>
      <c r="H267" s="409">
        <f>SUM(H265+H266)</f>
        <v>0.97</v>
      </c>
      <c r="I267" s="398"/>
    </row>
    <row r="268" spans="1:9" ht="12.75">
      <c r="A268" s="581"/>
      <c r="B268" s="407"/>
      <c r="C268" s="407"/>
      <c r="D268" s="407"/>
      <c r="E268" s="407"/>
      <c r="F268" s="407"/>
      <c r="G268" s="407"/>
      <c r="H268" s="407"/>
      <c r="I268" s="408"/>
    </row>
    <row r="269" spans="1:9" ht="25.5" customHeight="1">
      <c r="A269" s="383" t="s">
        <v>222</v>
      </c>
      <c r="B269" s="384"/>
      <c r="C269" s="384"/>
      <c r="D269" s="384"/>
      <c r="E269" s="384"/>
      <c r="F269" s="384"/>
      <c r="G269" s="384"/>
      <c r="H269" s="384"/>
      <c r="I269" s="384"/>
    </row>
    <row r="270" spans="1:9" ht="63.75">
      <c r="A270" s="37" t="s">
        <v>163</v>
      </c>
      <c r="B270" s="37" t="s">
        <v>217</v>
      </c>
      <c r="C270" s="37" t="s">
        <v>218</v>
      </c>
      <c r="D270" s="582" t="s">
        <v>219</v>
      </c>
      <c r="E270" s="582"/>
      <c r="F270" s="37" t="s">
        <v>400</v>
      </c>
      <c r="G270" s="37" t="s">
        <v>220</v>
      </c>
      <c r="H270" s="603" t="s">
        <v>221</v>
      </c>
      <c r="I270" s="399"/>
    </row>
    <row r="271" spans="1:9" ht="12.75">
      <c r="A271" s="31" t="s">
        <v>155</v>
      </c>
      <c r="B271" s="20" t="s">
        <v>313</v>
      </c>
      <c r="C271" s="21" t="s">
        <v>312</v>
      </c>
      <c r="D271" s="587" t="s">
        <v>316</v>
      </c>
      <c r="E271" s="587"/>
      <c r="F271" s="32">
        <f>ROUND((1/(4*110))*8*(1/1148.4),7)</f>
        <v>1.5800000000000001E-5</v>
      </c>
      <c r="G271" s="33">
        <v>0</v>
      </c>
      <c r="H271" s="389">
        <f>ROUND(F271*G271,2)</f>
        <v>0</v>
      </c>
      <c r="I271" s="390"/>
    </row>
    <row r="272" spans="1:9" ht="12.75">
      <c r="A272" s="31" t="s">
        <v>154</v>
      </c>
      <c r="B272" s="20" t="s">
        <v>203</v>
      </c>
      <c r="C272" s="21" t="s">
        <v>312</v>
      </c>
      <c r="D272" s="601" t="s">
        <v>316</v>
      </c>
      <c r="E272" s="602"/>
      <c r="F272" s="32">
        <f>ROUND((1/110)*8*(1/1148.4),7)</f>
        <v>6.3299999999999994E-5</v>
      </c>
      <c r="G272" s="33">
        <f>I180</f>
        <v>2558.8199999999997</v>
      </c>
      <c r="H272" s="389">
        <f>ROUND(F272*G272,2)</f>
        <v>0.16</v>
      </c>
      <c r="I272" s="390"/>
    </row>
    <row r="273" spans="1:9" ht="12.75">
      <c r="A273" s="492" t="s">
        <v>134</v>
      </c>
      <c r="B273" s="492"/>
      <c r="C273" s="604"/>
      <c r="D273" s="604"/>
      <c r="E273" s="604"/>
      <c r="F273" s="604"/>
      <c r="G273" s="649"/>
      <c r="H273" s="409">
        <f>SUM(H271+H272)</f>
        <v>0.16</v>
      </c>
      <c r="I273" s="398"/>
    </row>
    <row r="274" spans="1:9" ht="9" customHeight="1">
      <c r="A274" s="406"/>
      <c r="B274" s="407"/>
      <c r="C274" s="407"/>
      <c r="D274" s="407"/>
      <c r="E274" s="407"/>
      <c r="F274" s="407"/>
      <c r="G274" s="407"/>
      <c r="H274" s="407"/>
      <c r="I274" s="467"/>
    </row>
    <row r="275" spans="1:9">
      <c r="A275" s="438" t="s">
        <v>206</v>
      </c>
      <c r="B275" s="438"/>
      <c r="C275" s="438"/>
      <c r="D275" s="438"/>
      <c r="E275" s="438"/>
      <c r="F275" s="438"/>
      <c r="G275" s="438"/>
      <c r="H275" s="438"/>
      <c r="I275" s="474"/>
    </row>
    <row r="276" spans="1:9">
      <c r="A276" s="438"/>
      <c r="B276" s="438"/>
      <c r="C276" s="438"/>
      <c r="D276" s="438"/>
      <c r="E276" s="438"/>
      <c r="F276" s="438"/>
      <c r="G276" s="438"/>
      <c r="H276" s="438"/>
      <c r="I276" s="474"/>
    </row>
    <row r="277" spans="1:9" ht="12.75">
      <c r="A277" s="338" t="s">
        <v>163</v>
      </c>
      <c r="B277" s="447"/>
      <c r="C277" s="400" t="s">
        <v>148</v>
      </c>
      <c r="D277" s="338"/>
      <c r="E277" s="400" t="s">
        <v>149</v>
      </c>
      <c r="F277" s="400"/>
      <c r="G277" s="338" t="s">
        <v>150</v>
      </c>
      <c r="H277" s="339"/>
      <c r="I277" s="340"/>
    </row>
    <row r="278" spans="1:9" ht="12.75">
      <c r="A278" s="597" t="s">
        <v>155</v>
      </c>
      <c r="B278" s="598"/>
      <c r="C278" s="599" t="s">
        <v>207</v>
      </c>
      <c r="D278" s="600"/>
      <c r="E278" s="551">
        <v>0</v>
      </c>
      <c r="F278" s="552"/>
      <c r="G278" s="335">
        <v>0</v>
      </c>
      <c r="H278" s="586"/>
      <c r="I278" s="467"/>
    </row>
    <row r="279" spans="1:9" ht="12.75">
      <c r="A279" s="597" t="s">
        <v>154</v>
      </c>
      <c r="B279" s="598"/>
      <c r="C279" s="585" t="s">
        <v>187</v>
      </c>
      <c r="D279" s="586"/>
      <c r="E279" s="551">
        <v>0</v>
      </c>
      <c r="F279" s="552"/>
      <c r="G279" s="844">
        <v>0</v>
      </c>
      <c r="H279" s="600"/>
      <c r="I279" s="845"/>
    </row>
    <row r="280" spans="1:9" ht="12.75">
      <c r="A280" s="492" t="s">
        <v>134</v>
      </c>
      <c r="B280" s="492"/>
      <c r="C280" s="604"/>
      <c r="D280" s="604"/>
      <c r="E280" s="604"/>
      <c r="F280" s="604"/>
      <c r="G280" s="553">
        <f>SUM(G278+G279)</f>
        <v>0</v>
      </c>
      <c r="H280" s="554"/>
      <c r="I280" s="555"/>
    </row>
    <row r="281" spans="1:9" ht="9.75" customHeight="1">
      <c r="A281" s="556"/>
      <c r="B281" s="407"/>
      <c r="C281" s="407"/>
      <c r="D281" s="407"/>
      <c r="E281" s="407"/>
      <c r="F281" s="407"/>
      <c r="G281" s="407"/>
      <c r="H281" s="407"/>
      <c r="I281" s="467"/>
    </row>
    <row r="282" spans="1:9" ht="98.25" customHeight="1" thickBot="1">
      <c r="A282" s="557" t="s">
        <v>427</v>
      </c>
      <c r="B282" s="557"/>
      <c r="C282" s="557"/>
      <c r="D282" s="557"/>
      <c r="E282" s="557"/>
      <c r="F282" s="557"/>
      <c r="G282" s="557"/>
      <c r="H282" s="557"/>
      <c r="I282" s="557"/>
    </row>
    <row r="283" spans="1:9">
      <c r="A283" s="562" t="s">
        <v>111</v>
      </c>
      <c r="B283" s="563"/>
      <c r="C283" s="563"/>
      <c r="D283" s="563"/>
      <c r="E283" s="563"/>
      <c r="F283" s="563"/>
      <c r="G283" s="563"/>
      <c r="H283" s="563"/>
      <c r="I283" s="564"/>
    </row>
    <row r="284" spans="1:9" ht="12.75" thickBot="1">
      <c r="A284" s="565"/>
      <c r="B284" s="566"/>
      <c r="C284" s="566"/>
      <c r="D284" s="566"/>
      <c r="E284" s="566"/>
      <c r="F284" s="566"/>
      <c r="G284" s="566"/>
      <c r="H284" s="566"/>
      <c r="I284" s="567"/>
    </row>
    <row r="285" spans="1:9" ht="25.5">
      <c r="A285" s="560" t="s">
        <v>136</v>
      </c>
      <c r="B285" s="560"/>
      <c r="C285" s="560"/>
      <c r="D285" s="840" t="s">
        <v>137</v>
      </c>
      <c r="E285" s="840"/>
      <c r="F285" s="81" t="s">
        <v>208</v>
      </c>
      <c r="G285" s="841" t="s">
        <v>209</v>
      </c>
      <c r="H285" s="842"/>
      <c r="I285" s="843"/>
    </row>
    <row r="286" spans="1:9" ht="14.1" customHeight="1">
      <c r="A286" s="438" t="s">
        <v>167</v>
      </c>
      <c r="B286" s="438"/>
      <c r="C286" s="438"/>
      <c r="D286" s="558">
        <f>G206</f>
        <v>4.26</v>
      </c>
      <c r="E286" s="559"/>
      <c r="F286" s="100">
        <f t="shared" ref="F286:F292" si="1">H14</f>
        <v>2000</v>
      </c>
      <c r="G286" s="487">
        <f t="shared" ref="G286:G291" si="2">ROUND(D286*F286,2)</f>
        <v>8520</v>
      </c>
      <c r="H286" s="487"/>
      <c r="I286" s="488"/>
    </row>
    <row r="287" spans="1:9" ht="14.1" customHeight="1">
      <c r="A287" s="438" t="s">
        <v>168</v>
      </c>
      <c r="B287" s="438"/>
      <c r="C287" s="438"/>
      <c r="D287" s="558">
        <f>G210</f>
        <v>4.26</v>
      </c>
      <c r="E287" s="559"/>
      <c r="F287" s="100">
        <f t="shared" si="1"/>
        <v>4000</v>
      </c>
      <c r="G287" s="487">
        <f t="shared" si="2"/>
        <v>17040</v>
      </c>
      <c r="H287" s="487"/>
      <c r="I287" s="488"/>
    </row>
    <row r="288" spans="1:9" ht="14.1" customHeight="1">
      <c r="A288" s="438" t="s">
        <v>169</v>
      </c>
      <c r="B288" s="438"/>
      <c r="C288" s="438"/>
      <c r="D288" s="558">
        <v>0</v>
      </c>
      <c r="E288" s="559"/>
      <c r="F288" s="100">
        <f t="shared" si="1"/>
        <v>0</v>
      </c>
      <c r="G288" s="487">
        <f t="shared" si="2"/>
        <v>0</v>
      </c>
      <c r="H288" s="487"/>
      <c r="I288" s="488"/>
    </row>
    <row r="289" spans="1:11" ht="14.1" customHeight="1">
      <c r="A289" s="568" t="s">
        <v>170</v>
      </c>
      <c r="B289" s="569"/>
      <c r="C289" s="570"/>
      <c r="D289" s="558">
        <f>G218</f>
        <v>1.9</v>
      </c>
      <c r="E289" s="559"/>
      <c r="F289" s="100">
        <f t="shared" si="1"/>
        <v>400</v>
      </c>
      <c r="G289" s="487">
        <f t="shared" si="2"/>
        <v>760</v>
      </c>
      <c r="H289" s="487"/>
      <c r="I289" s="488"/>
    </row>
    <row r="290" spans="1:11" ht="14.1" customHeight="1">
      <c r="A290" s="438" t="s">
        <v>171</v>
      </c>
      <c r="B290" s="438"/>
      <c r="C290" s="438"/>
      <c r="D290" s="558">
        <v>0</v>
      </c>
      <c r="E290" s="559"/>
      <c r="F290" s="100">
        <f t="shared" si="1"/>
        <v>0</v>
      </c>
      <c r="G290" s="487">
        <f t="shared" si="2"/>
        <v>0</v>
      </c>
      <c r="H290" s="487"/>
      <c r="I290" s="488"/>
    </row>
    <row r="291" spans="1:11" ht="27" customHeight="1">
      <c r="A291" s="809" t="s">
        <v>172</v>
      </c>
      <c r="B291" s="838"/>
      <c r="C291" s="839"/>
      <c r="D291" s="558">
        <f>G226</f>
        <v>3.2</v>
      </c>
      <c r="E291" s="559"/>
      <c r="F291" s="100">
        <f t="shared" si="1"/>
        <v>600</v>
      </c>
      <c r="G291" s="487">
        <f t="shared" si="2"/>
        <v>1920</v>
      </c>
      <c r="H291" s="487"/>
      <c r="I291" s="488"/>
    </row>
    <row r="292" spans="1:11" ht="16.5" customHeight="1">
      <c r="A292" s="782" t="s">
        <v>173</v>
      </c>
      <c r="B292" s="820"/>
      <c r="C292" s="820"/>
      <c r="D292" s="820"/>
      <c r="E292" s="821"/>
      <c r="F292" s="80">
        <f t="shared" si="1"/>
        <v>7000</v>
      </c>
      <c r="G292" s="394">
        <f>SUM(G286:G291)</f>
        <v>28240</v>
      </c>
      <c r="H292" s="395"/>
      <c r="I292" s="396"/>
    </row>
    <row r="293" spans="1:11" ht="6.75" customHeight="1">
      <c r="A293" s="571"/>
      <c r="B293" s="572"/>
      <c r="C293" s="572"/>
      <c r="D293" s="572"/>
      <c r="E293" s="572"/>
      <c r="F293" s="572"/>
      <c r="G293" s="572"/>
      <c r="H293" s="572"/>
      <c r="I293" s="573"/>
    </row>
    <row r="294" spans="1:11" ht="24" customHeight="1">
      <c r="A294" s="819" t="s">
        <v>174</v>
      </c>
      <c r="B294" s="819"/>
      <c r="C294" s="819"/>
      <c r="D294" s="780">
        <f>G231</f>
        <v>2.13</v>
      </c>
      <c r="E294" s="781"/>
      <c r="F294" s="101">
        <f t="shared" ref="F294:F300" si="3">H22</f>
        <v>500</v>
      </c>
      <c r="G294" s="391">
        <f t="shared" ref="G294:G299" si="4">ROUND(D294*F294,2)</f>
        <v>1065</v>
      </c>
      <c r="H294" s="392"/>
      <c r="I294" s="393"/>
    </row>
    <row r="295" spans="1:11" ht="27.75" customHeight="1">
      <c r="A295" s="383" t="s">
        <v>93</v>
      </c>
      <c r="B295" s="383"/>
      <c r="C295" s="383"/>
      <c r="D295" s="442">
        <f>G235</f>
        <v>0.43</v>
      </c>
      <c r="E295" s="443"/>
      <c r="F295" s="102">
        <f t="shared" si="3"/>
        <v>1200</v>
      </c>
      <c r="G295" s="391">
        <f t="shared" si="4"/>
        <v>516</v>
      </c>
      <c r="H295" s="392"/>
      <c r="I295" s="393"/>
    </row>
    <row r="296" spans="1:11" ht="25.5" customHeight="1">
      <c r="A296" s="383" t="s">
        <v>94</v>
      </c>
      <c r="B296" s="383"/>
      <c r="C296" s="383"/>
      <c r="D296" s="442">
        <f>G239</f>
        <v>2.13</v>
      </c>
      <c r="E296" s="443"/>
      <c r="F296" s="102">
        <f t="shared" si="3"/>
        <v>100</v>
      </c>
      <c r="G296" s="391">
        <f t="shared" si="4"/>
        <v>213</v>
      </c>
      <c r="H296" s="392"/>
      <c r="I296" s="393"/>
    </row>
    <row r="297" spans="1:11" ht="24" customHeight="1">
      <c r="A297" s="383" t="s">
        <v>95</v>
      </c>
      <c r="B297" s="383"/>
      <c r="C297" s="383"/>
      <c r="D297" s="442">
        <f>G243</f>
        <v>2.13</v>
      </c>
      <c r="E297" s="443"/>
      <c r="F297" s="102">
        <f t="shared" si="3"/>
        <v>150</v>
      </c>
      <c r="G297" s="391">
        <f t="shared" si="4"/>
        <v>319.5</v>
      </c>
      <c r="H297" s="392"/>
      <c r="I297" s="393"/>
    </row>
    <row r="298" spans="1:11" ht="27" customHeight="1">
      <c r="A298" s="383" t="s">
        <v>96</v>
      </c>
      <c r="B298" s="383"/>
      <c r="C298" s="383"/>
      <c r="D298" s="442">
        <f>G247</f>
        <v>2.13</v>
      </c>
      <c r="E298" s="443"/>
      <c r="F298" s="102">
        <f t="shared" si="3"/>
        <v>250</v>
      </c>
      <c r="G298" s="391">
        <f t="shared" si="4"/>
        <v>532.5</v>
      </c>
      <c r="H298" s="392"/>
      <c r="I298" s="393"/>
    </row>
    <row r="299" spans="1:11" ht="26.25" customHeight="1">
      <c r="A299" s="383" t="s">
        <v>97</v>
      </c>
      <c r="B299" s="383"/>
      <c r="C299" s="383"/>
      <c r="D299" s="442">
        <f>G251</f>
        <v>0.03</v>
      </c>
      <c r="E299" s="443"/>
      <c r="F299" s="102">
        <f t="shared" si="3"/>
        <v>800</v>
      </c>
      <c r="G299" s="391">
        <f t="shared" si="4"/>
        <v>24</v>
      </c>
      <c r="H299" s="392"/>
      <c r="I299" s="393"/>
      <c r="K299" s="1">
        <f>K295</f>
        <v>0</v>
      </c>
    </row>
    <row r="300" spans="1:11" ht="12.75" customHeight="1">
      <c r="A300" s="782" t="s">
        <v>180</v>
      </c>
      <c r="B300" s="820"/>
      <c r="C300" s="820"/>
      <c r="D300" s="820"/>
      <c r="E300" s="821"/>
      <c r="F300" s="82">
        <f t="shared" si="3"/>
        <v>3000</v>
      </c>
      <c r="G300" s="394">
        <f>SUM(G294:G299)</f>
        <v>2670</v>
      </c>
      <c r="H300" s="395"/>
      <c r="I300" s="396"/>
    </row>
    <row r="301" spans="1:11" ht="9" customHeight="1">
      <c r="A301" s="574"/>
      <c r="B301" s="575"/>
      <c r="C301" s="575"/>
      <c r="D301" s="575"/>
      <c r="E301" s="575"/>
      <c r="F301" s="575"/>
      <c r="G301" s="575"/>
      <c r="H301" s="575"/>
      <c r="I301" s="573"/>
    </row>
    <row r="302" spans="1:11" ht="25.5" customHeight="1">
      <c r="A302" s="803" t="s">
        <v>181</v>
      </c>
      <c r="B302" s="804"/>
      <c r="C302" s="805"/>
      <c r="D302" s="780">
        <f>H258</f>
        <v>1.94</v>
      </c>
      <c r="E302" s="781"/>
      <c r="F302" s="49">
        <f>H30</f>
        <v>100</v>
      </c>
      <c r="G302" s="391">
        <f>ROUND(D302*F302,2)</f>
        <v>194</v>
      </c>
      <c r="H302" s="392"/>
      <c r="I302" s="393"/>
    </row>
    <row r="303" spans="1:11" ht="24" customHeight="1">
      <c r="A303" s="440" t="s">
        <v>98</v>
      </c>
      <c r="B303" s="434"/>
      <c r="C303" s="441"/>
      <c r="D303" s="442">
        <f>H262</f>
        <v>0.97</v>
      </c>
      <c r="E303" s="443"/>
      <c r="F303" s="100">
        <f>H31</f>
        <v>250</v>
      </c>
      <c r="G303" s="391">
        <f>ROUND((D303*F303),2)</f>
        <v>242.5</v>
      </c>
      <c r="H303" s="392"/>
      <c r="I303" s="393"/>
    </row>
    <row r="304" spans="1:11" ht="14.1" customHeight="1">
      <c r="A304" s="440" t="s">
        <v>99</v>
      </c>
      <c r="B304" s="434"/>
      <c r="C304" s="441"/>
      <c r="D304" s="442">
        <f>H266</f>
        <v>0.97</v>
      </c>
      <c r="E304" s="443"/>
      <c r="F304" s="100">
        <f>H32</f>
        <v>350</v>
      </c>
      <c r="G304" s="391">
        <f>ROUND((D304*F304),2)</f>
        <v>339.5</v>
      </c>
      <c r="H304" s="392"/>
      <c r="I304" s="393"/>
    </row>
    <row r="305" spans="1:9" ht="12.75">
      <c r="A305" s="782" t="s">
        <v>210</v>
      </c>
      <c r="B305" s="820"/>
      <c r="C305" s="820"/>
      <c r="D305" s="824"/>
      <c r="E305" s="825"/>
      <c r="F305" s="80">
        <f>H33</f>
        <v>700</v>
      </c>
      <c r="G305" s="394">
        <f>SUM(G302:G304)</f>
        <v>776</v>
      </c>
      <c r="H305" s="395"/>
      <c r="I305" s="396"/>
    </row>
    <row r="306" spans="1:9" ht="8.25" customHeight="1">
      <c r="A306" s="574"/>
      <c r="B306" s="572"/>
      <c r="C306" s="572"/>
      <c r="D306" s="572"/>
      <c r="E306" s="572"/>
      <c r="F306" s="572"/>
      <c r="G306" s="572"/>
      <c r="H306" s="572"/>
      <c r="I306" s="573"/>
    </row>
    <row r="307" spans="1:9" ht="14.1" customHeight="1">
      <c r="A307" s="790" t="s">
        <v>214</v>
      </c>
      <c r="B307" s="791"/>
      <c r="C307" s="792"/>
      <c r="D307" s="786">
        <f>H272</f>
        <v>0.16</v>
      </c>
      <c r="E307" s="787"/>
      <c r="F307" s="50">
        <f>H36</f>
        <v>70</v>
      </c>
      <c r="G307" s="583">
        <f>ROUND((D307*F307),2)</f>
        <v>11.2</v>
      </c>
      <c r="H307" s="371"/>
      <c r="I307" s="393"/>
    </row>
    <row r="308" spans="1:9" ht="12.75">
      <c r="A308" s="782" t="s">
        <v>223</v>
      </c>
      <c r="B308" s="783"/>
      <c r="C308" s="783"/>
      <c r="D308" s="784"/>
      <c r="E308" s="785"/>
      <c r="F308" s="80">
        <f>F307</f>
        <v>70</v>
      </c>
      <c r="G308" s="394">
        <f>G307</f>
        <v>11.2</v>
      </c>
      <c r="H308" s="387"/>
      <c r="I308" s="396"/>
    </row>
    <row r="309" spans="1:9" ht="6.75" customHeight="1">
      <c r="A309" s="574"/>
      <c r="B309" s="817"/>
      <c r="C309" s="817"/>
      <c r="D309" s="572"/>
      <c r="E309" s="572"/>
      <c r="F309" s="572"/>
      <c r="G309" s="572"/>
      <c r="H309" s="572"/>
      <c r="I309" s="573"/>
    </row>
    <row r="310" spans="1:9" ht="14.1" customHeight="1">
      <c r="A310" s="833" t="s">
        <v>184</v>
      </c>
      <c r="B310" s="445"/>
      <c r="C310" s="834"/>
      <c r="D310" s="835"/>
      <c r="E310" s="836"/>
      <c r="F310" s="49">
        <v>0</v>
      </c>
      <c r="G310" s="391">
        <v>0</v>
      </c>
      <c r="H310" s="392"/>
      <c r="I310" s="393"/>
    </row>
    <row r="311" spans="1:9" ht="14.1" customHeight="1">
      <c r="A311" s="826" t="s">
        <v>211</v>
      </c>
      <c r="B311" s="827"/>
      <c r="C311" s="827"/>
      <c r="D311" s="828"/>
      <c r="E311" s="829"/>
      <c r="F311" s="22">
        <f>H37</f>
        <v>0</v>
      </c>
      <c r="G311" s="583">
        <f>H310</f>
        <v>0</v>
      </c>
      <c r="H311" s="577"/>
      <c r="I311" s="373"/>
    </row>
    <row r="312" spans="1:9" ht="7.5" customHeight="1">
      <c r="A312" s="837"/>
      <c r="B312" s="407"/>
      <c r="C312" s="407"/>
      <c r="D312" s="407"/>
      <c r="E312" s="407"/>
      <c r="F312" s="407"/>
      <c r="G312" s="407"/>
      <c r="H312" s="407"/>
      <c r="I312" s="408"/>
    </row>
    <row r="313" spans="1:9" ht="12.75">
      <c r="A313" s="809" t="s">
        <v>92</v>
      </c>
      <c r="B313" s="810"/>
      <c r="C313" s="810"/>
      <c r="D313" s="811"/>
      <c r="E313" s="812"/>
      <c r="F313" s="100">
        <f>H39</f>
        <v>0</v>
      </c>
      <c r="G313" s="391">
        <f>H313</f>
        <v>0</v>
      </c>
      <c r="H313" s="392"/>
      <c r="I313" s="818"/>
    </row>
    <row r="314" spans="1:9" ht="12.75">
      <c r="A314" s="813" t="s">
        <v>90</v>
      </c>
      <c r="B314" s="814"/>
      <c r="C314" s="814"/>
      <c r="D314" s="814"/>
      <c r="E314" s="814"/>
      <c r="F314" s="118">
        <v>0</v>
      </c>
      <c r="G314" s="577">
        <f>G313</f>
        <v>0</v>
      </c>
      <c r="H314" s="372"/>
      <c r="I314" s="373"/>
    </row>
    <row r="315" spans="1:9" ht="7.5" customHeight="1">
      <c r="A315" s="806"/>
      <c r="B315" s="807"/>
      <c r="C315" s="807"/>
      <c r="D315" s="808"/>
      <c r="E315" s="808"/>
      <c r="F315" s="808"/>
      <c r="G315" s="808"/>
      <c r="H315" s="808"/>
      <c r="I315" s="467"/>
    </row>
    <row r="316" spans="1:9" ht="12.75">
      <c r="A316" s="815" t="s">
        <v>134</v>
      </c>
      <c r="B316" s="815"/>
      <c r="C316" s="815"/>
      <c r="D316" s="815"/>
      <c r="E316" s="816"/>
      <c r="F316" s="50">
        <f>ROUND(F292+F300+F305+F308+F311 + F314,2)</f>
        <v>10770</v>
      </c>
      <c r="G316" s="583">
        <f>SUM(G292+G300+G305+G308+G311 + G314)</f>
        <v>31697.200000000001</v>
      </c>
      <c r="H316" s="577"/>
      <c r="I316" s="373"/>
    </row>
    <row r="317" spans="1:9" ht="6.75" customHeight="1">
      <c r="A317" s="830"/>
      <c r="B317" s="831"/>
      <c r="C317" s="831"/>
      <c r="D317" s="831"/>
      <c r="E317" s="831"/>
      <c r="F317" s="831"/>
      <c r="G317" s="831"/>
      <c r="H317" s="831"/>
      <c r="I317" s="832"/>
    </row>
    <row r="318" spans="1:9" ht="18.75" customHeight="1">
      <c r="A318" s="450" t="s">
        <v>124</v>
      </c>
      <c r="B318" s="450"/>
      <c r="C318" s="450"/>
      <c r="D318" s="450"/>
      <c r="E318" s="450"/>
      <c r="F318" s="450"/>
      <c r="G318" s="451">
        <f>G316</f>
        <v>31697.200000000001</v>
      </c>
      <c r="H318" s="452"/>
      <c r="I318" s="453"/>
    </row>
    <row r="319" spans="1:9" ht="8.25" customHeight="1">
      <c r="A319" s="822"/>
      <c r="B319" s="823"/>
      <c r="C319" s="823"/>
      <c r="D319" s="823"/>
      <c r="E319" s="823"/>
      <c r="F319" s="823"/>
      <c r="G319" s="823"/>
      <c r="H319" s="823"/>
      <c r="I319" s="823"/>
    </row>
    <row r="320" spans="1:9" ht="19.5" customHeight="1">
      <c r="A320" s="795" t="s">
        <v>314</v>
      </c>
      <c r="B320" s="796"/>
      <c r="C320" s="796"/>
      <c r="D320" s="796"/>
      <c r="E320" s="796"/>
      <c r="F320" s="797"/>
      <c r="G320" s="800">
        <f>H11</f>
        <v>12</v>
      </c>
      <c r="H320" s="801"/>
      <c r="I320" s="802"/>
    </row>
    <row r="321" spans="1:9" ht="8.25" customHeight="1">
      <c r="A321" s="798"/>
      <c r="B321" s="799"/>
      <c r="C321" s="799"/>
      <c r="D321" s="799"/>
      <c r="E321" s="799"/>
      <c r="F321" s="799"/>
      <c r="G321" s="799"/>
      <c r="H321" s="799"/>
      <c r="I321" s="799"/>
    </row>
    <row r="322" spans="1:9" ht="31.5" customHeight="1">
      <c r="A322" s="774" t="s">
        <v>315</v>
      </c>
      <c r="B322" s="775"/>
      <c r="C322" s="775"/>
      <c r="D322" s="775"/>
      <c r="E322" s="775"/>
      <c r="F322" s="776"/>
      <c r="G322" s="777">
        <f>ROUND(G316*G320,2)</f>
        <v>380366.4</v>
      </c>
      <c r="H322" s="778"/>
      <c r="I322" s="779"/>
    </row>
    <row r="323" spans="1:9" ht="8.25" customHeight="1">
      <c r="A323" s="788"/>
      <c r="B323" s="789"/>
      <c r="C323" s="789"/>
      <c r="D323" s="789"/>
      <c r="E323" s="789"/>
      <c r="F323" s="789"/>
      <c r="G323" s="789"/>
      <c r="H323" s="789"/>
      <c r="I323" s="340"/>
    </row>
    <row r="324" spans="1:9" ht="29.25" customHeight="1">
      <c r="A324" s="793" t="s">
        <v>320</v>
      </c>
      <c r="B324" s="794"/>
      <c r="C324" s="794"/>
      <c r="D324" s="794"/>
      <c r="E324" s="794"/>
      <c r="F324" s="794"/>
      <c r="G324" s="794"/>
      <c r="H324" s="794"/>
      <c r="I324" s="467"/>
    </row>
    <row r="325" spans="1:9">
      <c r="A325" s="766" t="s">
        <v>166</v>
      </c>
      <c r="B325" s="767"/>
      <c r="C325" s="767"/>
      <c r="D325" s="768"/>
      <c r="E325" s="768"/>
      <c r="F325" s="768"/>
      <c r="G325" s="769"/>
      <c r="H325" s="605" t="s">
        <v>158</v>
      </c>
      <c r="I325" s="606"/>
    </row>
    <row r="326" spans="1:9">
      <c r="A326" s="770"/>
      <c r="B326" s="771"/>
      <c r="C326" s="771"/>
      <c r="D326" s="772"/>
      <c r="E326" s="772"/>
      <c r="F326" s="772"/>
      <c r="G326" s="773"/>
      <c r="H326" s="607"/>
      <c r="I326" s="608"/>
    </row>
    <row r="327" spans="1:9" ht="12.75">
      <c r="A327" s="761" t="s">
        <v>154</v>
      </c>
      <c r="B327" s="762"/>
      <c r="C327" s="762"/>
      <c r="D327" s="466"/>
      <c r="E327" s="466"/>
      <c r="F327" s="466"/>
      <c r="G327" s="467"/>
      <c r="H327" s="764"/>
      <c r="I327" s="765"/>
    </row>
    <row r="328" spans="1:9" ht="12.75">
      <c r="A328" s="761" t="s">
        <v>155</v>
      </c>
      <c r="B328" s="762"/>
      <c r="C328" s="762"/>
      <c r="D328" s="466"/>
      <c r="E328" s="466"/>
      <c r="F328" s="466"/>
      <c r="G328" s="467"/>
      <c r="H328" s="764"/>
      <c r="I328" s="765"/>
    </row>
    <row r="329" spans="1:9" ht="12.75">
      <c r="A329" s="440"/>
      <c r="B329" s="434"/>
      <c r="C329" s="434"/>
      <c r="D329" s="466"/>
      <c r="E329" s="466"/>
      <c r="F329" s="466"/>
      <c r="G329" s="466"/>
      <c r="H329" s="466"/>
      <c r="I329" s="467"/>
    </row>
    <row r="330" spans="1:9" ht="9" customHeight="1">
      <c r="A330" s="760"/>
      <c r="B330" s="760"/>
      <c r="C330" s="760"/>
      <c r="D330" s="760"/>
      <c r="E330" s="760"/>
      <c r="F330" s="760"/>
      <c r="G330" s="760"/>
      <c r="H330" s="760"/>
      <c r="I330" s="474"/>
    </row>
    <row r="331" spans="1:9" hidden="1">
      <c r="A331" s="760"/>
      <c r="B331" s="760"/>
      <c r="C331" s="760"/>
      <c r="D331" s="760"/>
      <c r="E331" s="760"/>
      <c r="F331" s="760"/>
      <c r="G331" s="760"/>
      <c r="H331" s="760"/>
      <c r="I331" s="474"/>
    </row>
    <row r="332" spans="1:9" ht="27" customHeight="1">
      <c r="A332" s="793" t="s">
        <v>329</v>
      </c>
      <c r="B332" s="794"/>
      <c r="C332" s="794"/>
      <c r="D332" s="794"/>
      <c r="E332" s="794"/>
      <c r="F332" s="794"/>
      <c r="G332" s="794"/>
      <c r="H332" s="794"/>
      <c r="I332" s="466"/>
    </row>
    <row r="333" spans="1:9" ht="12.75">
      <c r="A333" s="400" t="s">
        <v>212</v>
      </c>
      <c r="B333" s="400"/>
      <c r="C333" s="400"/>
      <c r="D333" s="400"/>
      <c r="E333" s="400"/>
      <c r="F333" s="400"/>
      <c r="G333" s="400"/>
      <c r="H333" s="338" t="s">
        <v>160</v>
      </c>
      <c r="I333" s="399"/>
    </row>
    <row r="334" spans="1:9" ht="15">
      <c r="A334" s="763"/>
      <c r="B334" s="763"/>
      <c r="C334" s="763"/>
      <c r="D334" s="443"/>
      <c r="E334" s="443"/>
      <c r="F334" s="443"/>
      <c r="G334" s="443"/>
      <c r="H334" s="576"/>
      <c r="I334" s="399"/>
    </row>
    <row r="335" spans="1:9" ht="12.75">
      <c r="A335" s="438"/>
      <c r="B335" s="438"/>
      <c r="C335" s="438"/>
      <c r="D335" s="439"/>
      <c r="E335" s="439"/>
      <c r="F335" s="439"/>
      <c r="G335" s="439"/>
      <c r="H335" s="576"/>
      <c r="I335" s="399"/>
    </row>
    <row r="336" spans="1:9" ht="12.75">
      <c r="A336" s="561"/>
      <c r="B336" s="561"/>
      <c r="C336" s="561"/>
      <c r="D336" s="439"/>
      <c r="E336" s="439"/>
      <c r="F336" s="439"/>
      <c r="G336" s="439"/>
      <c r="H336" s="576"/>
      <c r="I336" s="399"/>
    </row>
    <row r="337" spans="1:9" ht="12.75">
      <c r="A337" s="30"/>
      <c r="B337" s="30"/>
      <c r="C337" s="30"/>
      <c r="D337" s="30"/>
      <c r="E337" s="30"/>
      <c r="F337" s="30"/>
      <c r="G337" s="30"/>
      <c r="H337" s="30"/>
      <c r="I337" s="43"/>
    </row>
    <row r="338" spans="1:9" ht="12.75">
      <c r="A338" s="23"/>
      <c r="B338" s="23"/>
      <c r="C338" s="23"/>
      <c r="D338" s="23"/>
      <c r="E338" s="23"/>
      <c r="F338" s="23"/>
      <c r="G338" s="23"/>
      <c r="H338" s="23"/>
      <c r="I338" s="44"/>
    </row>
    <row r="339" spans="1:9" ht="12.75">
      <c r="A339" s="23"/>
      <c r="B339" s="23"/>
      <c r="C339" s="23"/>
      <c r="D339" s="23"/>
      <c r="E339" s="23"/>
      <c r="F339" s="23"/>
      <c r="G339" s="23"/>
      <c r="H339" s="23"/>
      <c r="I339" s="44"/>
    </row>
    <row r="340" spans="1:9" ht="12.75">
      <c r="A340" s="23"/>
      <c r="B340" s="23"/>
      <c r="C340" s="23"/>
      <c r="D340" s="23"/>
      <c r="E340" s="23"/>
      <c r="F340" s="23"/>
      <c r="G340" s="23"/>
      <c r="H340" s="23"/>
      <c r="I340" s="44"/>
    </row>
    <row r="341" spans="1:9" ht="12.75">
      <c r="A341" s="23"/>
      <c r="B341" s="23"/>
      <c r="C341" s="23"/>
      <c r="D341" s="23"/>
      <c r="E341" s="23"/>
      <c r="F341" s="23"/>
      <c r="G341" s="23"/>
      <c r="H341" s="23"/>
      <c r="I341" s="44"/>
    </row>
    <row r="342" spans="1:9" ht="12.75">
      <c r="A342" s="23"/>
      <c r="B342" s="23"/>
      <c r="C342" s="23"/>
      <c r="D342" s="23"/>
      <c r="E342" s="23"/>
      <c r="F342" s="23"/>
      <c r="G342" s="23"/>
      <c r="H342" s="23"/>
      <c r="I342" s="44"/>
    </row>
    <row r="343" spans="1:9" ht="12.75">
      <c r="A343" s="23"/>
      <c r="B343" s="23"/>
      <c r="C343" s="23"/>
      <c r="D343" s="23"/>
      <c r="E343" s="23"/>
      <c r="F343" s="23"/>
      <c r="G343" s="23"/>
      <c r="H343" s="23"/>
      <c r="I343" s="44"/>
    </row>
    <row r="344" spans="1:9" ht="12.75">
      <c r="A344" s="550"/>
      <c r="B344" s="550"/>
      <c r="C344" s="550"/>
      <c r="D344" s="550"/>
      <c r="E344" s="550"/>
      <c r="F344" s="550"/>
      <c r="G344" s="550"/>
      <c r="H344" s="550"/>
      <c r="I344" s="39"/>
    </row>
    <row r="345" spans="1:9" ht="12.75">
      <c r="A345" s="584"/>
      <c r="B345" s="584"/>
      <c r="C345" s="584"/>
      <c r="D345" s="25"/>
      <c r="E345" s="578"/>
      <c r="F345" s="578"/>
      <c r="G345" s="578"/>
      <c r="H345" s="578"/>
      <c r="I345" s="42"/>
    </row>
    <row r="346" spans="1:9" ht="12.75">
      <c r="A346" s="584"/>
      <c r="B346" s="584"/>
      <c r="C346" s="584"/>
      <c r="D346" s="18"/>
      <c r="E346" s="578"/>
      <c r="F346" s="578"/>
      <c r="G346" s="578"/>
      <c r="H346" s="578"/>
      <c r="I346" s="42"/>
    </row>
    <row r="347" spans="1:9" ht="12.75">
      <c r="A347" s="584"/>
      <c r="B347" s="584"/>
      <c r="C347" s="584"/>
      <c r="D347" s="18"/>
      <c r="E347" s="578"/>
      <c r="F347" s="578"/>
      <c r="G347" s="578"/>
      <c r="H347" s="578"/>
      <c r="I347" s="42"/>
    </row>
    <row r="348" spans="1:9" ht="12.75">
      <c r="A348" s="584"/>
      <c r="B348" s="584"/>
      <c r="C348" s="584"/>
      <c r="D348" s="18"/>
      <c r="E348" s="578"/>
      <c r="F348" s="578"/>
      <c r="G348" s="578"/>
      <c r="H348" s="578"/>
      <c r="I348" s="42"/>
    </row>
    <row r="349" spans="1:9" ht="12.75">
      <c r="A349" s="584"/>
      <c r="B349" s="584"/>
      <c r="C349" s="584"/>
      <c r="D349" s="18"/>
      <c r="E349" s="578"/>
      <c r="F349" s="578"/>
      <c r="G349" s="578"/>
      <c r="H349" s="578"/>
      <c r="I349" s="42"/>
    </row>
    <row r="350" spans="1:9">
      <c r="A350" s="414"/>
      <c r="B350" s="414"/>
      <c r="C350" s="414"/>
      <c r="D350" s="414"/>
      <c r="E350" s="414"/>
      <c r="F350" s="414"/>
      <c r="G350" s="414"/>
      <c r="H350" s="414"/>
      <c r="I350" s="45"/>
    </row>
  </sheetData>
  <mergeCells count="627">
    <mergeCell ref="B132:H132"/>
    <mergeCell ref="A127:H127"/>
    <mergeCell ref="B121:H121"/>
    <mergeCell ref="B122:H122"/>
    <mergeCell ref="B123:H123"/>
    <mergeCell ref="B124:H124"/>
    <mergeCell ref="B86:H86"/>
    <mergeCell ref="B85:H85"/>
    <mergeCell ref="B99:G99"/>
    <mergeCell ref="B100:G100"/>
    <mergeCell ref="A91:I91"/>
    <mergeCell ref="B108:H108"/>
    <mergeCell ref="B109:H109"/>
    <mergeCell ref="A103:G103"/>
    <mergeCell ref="B95:G95"/>
    <mergeCell ref="A107:I107"/>
    <mergeCell ref="A112:H112"/>
    <mergeCell ref="B111:H111"/>
    <mergeCell ref="A118:H118"/>
    <mergeCell ref="B116:H116"/>
    <mergeCell ref="A114:I114"/>
    <mergeCell ref="A314:E314"/>
    <mergeCell ref="A228:I228"/>
    <mergeCell ref="G229:I229"/>
    <mergeCell ref="A231:B231"/>
    <mergeCell ref="C231:D231"/>
    <mergeCell ref="A215:I215"/>
    <mergeCell ref="A216:B216"/>
    <mergeCell ref="C217:D217"/>
    <mergeCell ref="G222:I222"/>
    <mergeCell ref="G220:I220"/>
    <mergeCell ref="G221:I221"/>
    <mergeCell ref="G217:I217"/>
    <mergeCell ref="E221:F221"/>
    <mergeCell ref="G218:I218"/>
    <mergeCell ref="E216:F216"/>
    <mergeCell ref="A238:B238"/>
    <mergeCell ref="C238:D238"/>
    <mergeCell ref="E238:F238"/>
    <mergeCell ref="G238:I238"/>
    <mergeCell ref="C235:D235"/>
    <mergeCell ref="E235:F235"/>
    <mergeCell ref="G242:I242"/>
    <mergeCell ref="C239:D239"/>
    <mergeCell ref="C242:D242"/>
    <mergeCell ref="BE216:BL227"/>
    <mergeCell ref="BM216:BT227"/>
    <mergeCell ref="A335:G335"/>
    <mergeCell ref="G304:I304"/>
    <mergeCell ref="A304:C304"/>
    <mergeCell ref="D304:E304"/>
    <mergeCell ref="A303:C303"/>
    <mergeCell ref="D303:E303"/>
    <mergeCell ref="G305:I305"/>
    <mergeCell ref="AO216:AV227"/>
    <mergeCell ref="G302:I302"/>
    <mergeCell ref="G303:I303"/>
    <mergeCell ref="G316:I316"/>
    <mergeCell ref="G322:I322"/>
    <mergeCell ref="A319:I319"/>
    <mergeCell ref="A305:E305"/>
    <mergeCell ref="A302:C302"/>
    <mergeCell ref="D302:E302"/>
    <mergeCell ref="A308:E308"/>
    <mergeCell ref="D307:E307"/>
    <mergeCell ref="A323:I323"/>
    <mergeCell ref="A316:E316"/>
    <mergeCell ref="A322:F322"/>
    <mergeCell ref="A324:I324"/>
    <mergeCell ref="IO216:IV227"/>
    <mergeCell ref="CC216:CJ227"/>
    <mergeCell ref="BU216:CB227"/>
    <mergeCell ref="HY216:IF227"/>
    <mergeCell ref="IG216:IN227"/>
    <mergeCell ref="DQ216:DX227"/>
    <mergeCell ref="DY216:EF227"/>
    <mergeCell ref="DA216:DH227"/>
    <mergeCell ref="DI216:DP227"/>
    <mergeCell ref="HQ216:HX227"/>
    <mergeCell ref="CK216:CR227"/>
    <mergeCell ref="CS216:CZ227"/>
    <mergeCell ref="GC216:GJ227"/>
    <mergeCell ref="GK216:GR227"/>
    <mergeCell ref="FM216:FT227"/>
    <mergeCell ref="FU216:GB227"/>
    <mergeCell ref="EW216:FD227"/>
    <mergeCell ref="HI216:HP227"/>
    <mergeCell ref="FE216:FL227"/>
    <mergeCell ref="EG216:EN227"/>
    <mergeCell ref="EO216:EV227"/>
    <mergeCell ref="GS216:GZ227"/>
    <mergeCell ref="HA216:HH227"/>
    <mergeCell ref="G204:I204"/>
    <mergeCell ref="G205:I205"/>
    <mergeCell ref="C205:D205"/>
    <mergeCell ref="A205:B205"/>
    <mergeCell ref="E213:F213"/>
    <mergeCell ref="A204:B204"/>
    <mergeCell ref="C204:D204"/>
    <mergeCell ref="E204:F204"/>
    <mergeCell ref="G206:I206"/>
    <mergeCell ref="A207:I207"/>
    <mergeCell ref="AW216:BD227"/>
    <mergeCell ref="J216:P227"/>
    <mergeCell ref="Q216:X227"/>
    <mergeCell ref="Y216:AF227"/>
    <mergeCell ref="AG216:AN227"/>
    <mergeCell ref="A209:B209"/>
    <mergeCell ref="A214:F214"/>
    <mergeCell ref="C225:D225"/>
    <mergeCell ref="E225:F225"/>
    <mergeCell ref="G214:I214"/>
    <mergeCell ref="A211:I211"/>
    <mergeCell ref="C209:D209"/>
    <mergeCell ref="G213:I213"/>
    <mergeCell ref="A2:I2"/>
    <mergeCell ref="A29:I29"/>
    <mergeCell ref="H30:I30"/>
    <mergeCell ref="A3:I3"/>
    <mergeCell ref="H27:I27"/>
    <mergeCell ref="H24:I24"/>
    <mergeCell ref="H25:I25"/>
    <mergeCell ref="H26:I26"/>
    <mergeCell ref="H28:I28"/>
    <mergeCell ref="H22:I22"/>
    <mergeCell ref="F16:G16"/>
    <mergeCell ref="F5:I5"/>
    <mergeCell ref="H23:I23"/>
    <mergeCell ref="A13:E13"/>
    <mergeCell ref="F13:G13"/>
    <mergeCell ref="A14:E14"/>
    <mergeCell ref="F14:G14"/>
    <mergeCell ref="A25:E25"/>
    <mergeCell ref="A28:G28"/>
    <mergeCell ref="F15:G15"/>
    <mergeCell ref="A16:E16"/>
    <mergeCell ref="A20:G20"/>
    <mergeCell ref="A17:E17"/>
    <mergeCell ref="A18:E18"/>
    <mergeCell ref="AG49:AN49"/>
    <mergeCell ref="J49:P49"/>
    <mergeCell ref="H33:I33"/>
    <mergeCell ref="H31:I31"/>
    <mergeCell ref="F41:G41"/>
    <mergeCell ref="H41:I41"/>
    <mergeCell ref="A43:I43"/>
    <mergeCell ref="A36:G36"/>
    <mergeCell ref="H39:I39"/>
    <mergeCell ref="A35:E35"/>
    <mergeCell ref="F35:G35"/>
    <mergeCell ref="Q49:X49"/>
    <mergeCell ref="Y49:AF49"/>
    <mergeCell ref="A45:I45"/>
    <mergeCell ref="A48:I48"/>
    <mergeCell ref="A47:I47"/>
    <mergeCell ref="A49:I49"/>
    <mergeCell ref="A46:I46"/>
    <mergeCell ref="A32:E32"/>
    <mergeCell ref="H36:I36"/>
    <mergeCell ref="H35:I35"/>
    <mergeCell ref="F32:G32"/>
    <mergeCell ref="A33:G33"/>
    <mergeCell ref="H32:I32"/>
    <mergeCell ref="A203:B203"/>
    <mergeCell ref="E203:F203"/>
    <mergeCell ref="B179:H179"/>
    <mergeCell ref="A195:I195"/>
    <mergeCell ref="A196:I196"/>
    <mergeCell ref="A187:H187"/>
    <mergeCell ref="C185:D185"/>
    <mergeCell ref="C186:D186"/>
    <mergeCell ref="A183:B183"/>
    <mergeCell ref="F183:G183"/>
    <mergeCell ref="A184:B184"/>
    <mergeCell ref="C203:D203"/>
    <mergeCell ref="A199:I199"/>
    <mergeCell ref="A202:I202"/>
    <mergeCell ref="A194:I194"/>
    <mergeCell ref="G203:I203"/>
    <mergeCell ref="C184:D184"/>
    <mergeCell ref="A193:H193"/>
    <mergeCell ref="C183:D183"/>
    <mergeCell ref="A181:I181"/>
    <mergeCell ref="A180:H180"/>
    <mergeCell ref="A344:H344"/>
    <mergeCell ref="E279:F279"/>
    <mergeCell ref="G280:I280"/>
    <mergeCell ref="A281:I281"/>
    <mergeCell ref="A282:I282"/>
    <mergeCell ref="A286:C286"/>
    <mergeCell ref="D286:E286"/>
    <mergeCell ref="A285:C285"/>
    <mergeCell ref="G308:I308"/>
    <mergeCell ref="A317:I317"/>
    <mergeCell ref="A320:F320"/>
    <mergeCell ref="A321:I321"/>
    <mergeCell ref="G320:I320"/>
    <mergeCell ref="A318:F318"/>
    <mergeCell ref="G318:I318"/>
    <mergeCell ref="A307:C307"/>
    <mergeCell ref="A315:I315"/>
    <mergeCell ref="A313:E313"/>
    <mergeCell ref="A309:I309"/>
    <mergeCell ref="G310:I310"/>
    <mergeCell ref="G313:I313"/>
    <mergeCell ref="A310:C310"/>
    <mergeCell ref="D310:E310"/>
    <mergeCell ref="A312:I312"/>
    <mergeCell ref="A250:B250"/>
    <mergeCell ref="A268:I268"/>
    <mergeCell ref="D266:E266"/>
    <mergeCell ref="E230:F230"/>
    <mergeCell ref="G230:I230"/>
    <mergeCell ref="A236:F236"/>
    <mergeCell ref="G235:I235"/>
    <mergeCell ref="A306:I306"/>
    <mergeCell ref="G307:I307"/>
    <mergeCell ref="E278:F278"/>
    <mergeCell ref="A273:G273"/>
    <mergeCell ref="A234:B234"/>
    <mergeCell ref="A239:B239"/>
    <mergeCell ref="G232:I232"/>
    <mergeCell ref="A233:I233"/>
    <mergeCell ref="G234:I234"/>
    <mergeCell ref="E242:F242"/>
    <mergeCell ref="A246:B246"/>
    <mergeCell ref="C246:D246"/>
    <mergeCell ref="E246:F246"/>
    <mergeCell ref="G246:I246"/>
    <mergeCell ref="G236:I236"/>
    <mergeCell ref="A237:I237"/>
    <mergeCell ref="A235:B235"/>
    <mergeCell ref="AW49:BD49"/>
    <mergeCell ref="A206:F206"/>
    <mergeCell ref="A220:B220"/>
    <mergeCell ref="C220:D220"/>
    <mergeCell ref="E220:F220"/>
    <mergeCell ref="A218:F218"/>
    <mergeCell ref="A219:I219"/>
    <mergeCell ref="G208:I208"/>
    <mergeCell ref="G209:I209"/>
    <mergeCell ref="G210:I210"/>
    <mergeCell ref="AO49:AV49"/>
    <mergeCell ref="B62:H62"/>
    <mergeCell ref="G212:I212"/>
    <mergeCell ref="A67:I67"/>
    <mergeCell ref="B73:G73"/>
    <mergeCell ref="B71:G71"/>
    <mergeCell ref="A190:H190"/>
    <mergeCell ref="B79:H79"/>
    <mergeCell ref="B68:H68"/>
    <mergeCell ref="B69:H69"/>
    <mergeCell ref="B72:H72"/>
    <mergeCell ref="B160:G160"/>
    <mergeCell ref="E205:F205"/>
    <mergeCell ref="E209:F209"/>
    <mergeCell ref="DQ49:DX49"/>
    <mergeCell ref="DY49:EF49"/>
    <mergeCell ref="CS49:CZ49"/>
    <mergeCell ref="DA49:DH49"/>
    <mergeCell ref="BE49:BL49"/>
    <mergeCell ref="BM49:BT49"/>
    <mergeCell ref="BU49:CB49"/>
    <mergeCell ref="DI49:DP49"/>
    <mergeCell ref="CC49:CJ49"/>
    <mergeCell ref="CK49:CR49"/>
    <mergeCell ref="A66:H66"/>
    <mergeCell ref="B59:H59"/>
    <mergeCell ref="A178:H178"/>
    <mergeCell ref="A54:I54"/>
    <mergeCell ref="H53:I53"/>
    <mergeCell ref="A80:I80"/>
    <mergeCell ref="A83:I83"/>
    <mergeCell ref="B84:H84"/>
    <mergeCell ref="A93:I93"/>
    <mergeCell ref="B94:G94"/>
    <mergeCell ref="B102:G102"/>
    <mergeCell ref="B101:C101"/>
    <mergeCell ref="A90:I90"/>
    <mergeCell ref="A105:I105"/>
    <mergeCell ref="A106:I106"/>
    <mergeCell ref="B96:G96"/>
    <mergeCell ref="B97:G97"/>
    <mergeCell ref="B98:G98"/>
    <mergeCell ref="B65:H65"/>
    <mergeCell ref="B63:H63"/>
    <mergeCell ref="B58:G58"/>
    <mergeCell ref="B60:G60"/>
    <mergeCell ref="B78:H78"/>
    <mergeCell ref="A113:I113"/>
    <mergeCell ref="IO49:IV49"/>
    <mergeCell ref="GK49:GR49"/>
    <mergeCell ref="GS49:GZ49"/>
    <mergeCell ref="HA49:HH49"/>
    <mergeCell ref="HI49:HP49"/>
    <mergeCell ref="HQ49:HX49"/>
    <mergeCell ref="HY49:IF49"/>
    <mergeCell ref="EG49:EN49"/>
    <mergeCell ref="EO49:EV49"/>
    <mergeCell ref="EW49:FD49"/>
    <mergeCell ref="IG49:IN49"/>
    <mergeCell ref="FE49:FL49"/>
    <mergeCell ref="FM49:FT49"/>
    <mergeCell ref="FU49:GB49"/>
    <mergeCell ref="GC49:GJ49"/>
    <mergeCell ref="A350:H350"/>
    <mergeCell ref="A208:B208"/>
    <mergeCell ref="C208:D208"/>
    <mergeCell ref="E208:F208"/>
    <mergeCell ref="A210:F210"/>
    <mergeCell ref="A212:B212"/>
    <mergeCell ref="C212:D212"/>
    <mergeCell ref="E212:F212"/>
    <mergeCell ref="A213:B213"/>
    <mergeCell ref="C213:D213"/>
    <mergeCell ref="A243:B243"/>
    <mergeCell ref="C243:D243"/>
    <mergeCell ref="E243:F243"/>
    <mergeCell ref="A240:F240"/>
    <mergeCell ref="A242:B242"/>
    <mergeCell ref="G240:I240"/>
    <mergeCell ref="A241:I241"/>
    <mergeCell ref="A349:C349"/>
    <mergeCell ref="A345:C345"/>
    <mergeCell ref="A346:C346"/>
    <mergeCell ref="A347:C347"/>
    <mergeCell ref="A348:C348"/>
    <mergeCell ref="E345:H349"/>
    <mergeCell ref="A229:B229"/>
    <mergeCell ref="D271:E271"/>
    <mergeCell ref="D262:E262"/>
    <mergeCell ref="D265:E265"/>
    <mergeCell ref="A278:B278"/>
    <mergeCell ref="C278:D278"/>
    <mergeCell ref="D272:E272"/>
    <mergeCell ref="A274:I274"/>
    <mergeCell ref="A275:I276"/>
    <mergeCell ref="A264:I264"/>
    <mergeCell ref="A263:G263"/>
    <mergeCell ref="H262:I262"/>
    <mergeCell ref="H263:I263"/>
    <mergeCell ref="H272:I272"/>
    <mergeCell ref="H273:I273"/>
    <mergeCell ref="H271:I271"/>
    <mergeCell ref="H265:I265"/>
    <mergeCell ref="D285:E285"/>
    <mergeCell ref="A287:C287"/>
    <mergeCell ref="D287:E287"/>
    <mergeCell ref="G286:I286"/>
    <mergeCell ref="G287:I287"/>
    <mergeCell ref="A283:I284"/>
    <mergeCell ref="A280:F280"/>
    <mergeCell ref="E277:F277"/>
    <mergeCell ref="G277:I277"/>
    <mergeCell ref="A277:B277"/>
    <mergeCell ref="C277:D277"/>
    <mergeCell ref="G279:I279"/>
    <mergeCell ref="A279:B279"/>
    <mergeCell ref="C279:D279"/>
    <mergeCell ref="G278:I278"/>
    <mergeCell ref="G285:I285"/>
    <mergeCell ref="A298:C298"/>
    <mergeCell ref="D298:E298"/>
    <mergeCell ref="G297:I297"/>
    <mergeCell ref="G298:I298"/>
    <mergeCell ref="G299:I299"/>
    <mergeCell ref="G300:I300"/>
    <mergeCell ref="A288:C288"/>
    <mergeCell ref="D288:E288"/>
    <mergeCell ref="A289:C289"/>
    <mergeCell ref="D289:E289"/>
    <mergeCell ref="A297:C297"/>
    <mergeCell ref="D297:E297"/>
    <mergeCell ref="G296:I296"/>
    <mergeCell ref="A245:I245"/>
    <mergeCell ref="G243:I243"/>
    <mergeCell ref="G239:I239"/>
    <mergeCell ref="E239:F239"/>
    <mergeCell ref="A244:F244"/>
    <mergeCell ref="A232:F232"/>
    <mergeCell ref="G231:I231"/>
    <mergeCell ref="G226:I226"/>
    <mergeCell ref="C216:D216"/>
    <mergeCell ref="A217:B217"/>
    <mergeCell ref="E231:F231"/>
    <mergeCell ref="A226:F226"/>
    <mergeCell ref="A230:B230"/>
    <mergeCell ref="C230:D230"/>
    <mergeCell ref="A225:B225"/>
    <mergeCell ref="A223:I223"/>
    <mergeCell ref="A227:I227"/>
    <mergeCell ref="G225:I225"/>
    <mergeCell ref="C229:D229"/>
    <mergeCell ref="E229:F229"/>
    <mergeCell ref="C221:D221"/>
    <mergeCell ref="E217:F217"/>
    <mergeCell ref="G216:I216"/>
    <mergeCell ref="A222:F222"/>
    <mergeCell ref="B53:G53"/>
    <mergeCell ref="A57:I57"/>
    <mergeCell ref="F38:G38"/>
    <mergeCell ref="A55:I55"/>
    <mergeCell ref="A56:I56"/>
    <mergeCell ref="H15:I15"/>
    <mergeCell ref="F17:G17"/>
    <mergeCell ref="F18:G18"/>
    <mergeCell ref="A15:E15"/>
    <mergeCell ref="F26:G26"/>
    <mergeCell ref="H18:I18"/>
    <mergeCell ref="H19:I19"/>
    <mergeCell ref="H20:I20"/>
    <mergeCell ref="F22:G22"/>
    <mergeCell ref="F23:G23"/>
    <mergeCell ref="F24:G24"/>
    <mergeCell ref="A22:E22"/>
    <mergeCell ref="F25:G25"/>
    <mergeCell ref="A21:I21"/>
    <mergeCell ref="H51:I51"/>
    <mergeCell ref="B51:G51"/>
    <mergeCell ref="H50:I50"/>
    <mergeCell ref="B50:G50"/>
    <mergeCell ref="H52:I52"/>
    <mergeCell ref="H38:I38"/>
    <mergeCell ref="H44:I44"/>
    <mergeCell ref="A44:G44"/>
    <mergeCell ref="A39:G39"/>
    <mergeCell ref="A41:E41"/>
    <mergeCell ref="A37:I37"/>
    <mergeCell ref="F30:G30"/>
    <mergeCell ref="A30:E30"/>
    <mergeCell ref="B177:H177"/>
    <mergeCell ref="B125:H125"/>
    <mergeCell ref="A128:I128"/>
    <mergeCell ref="B133:H133"/>
    <mergeCell ref="B129:H129"/>
    <mergeCell ref="B126:H126"/>
    <mergeCell ref="B130:H130"/>
    <mergeCell ref="B144:H144"/>
    <mergeCell ref="A152:G152"/>
    <mergeCell ref="B162:G162"/>
    <mergeCell ref="B155:G155"/>
    <mergeCell ref="B159:G159"/>
    <mergeCell ref="B174:H174"/>
    <mergeCell ref="B175:H175"/>
    <mergeCell ref="B176:H176"/>
    <mergeCell ref="B153:G153"/>
    <mergeCell ref="B135:H135"/>
    <mergeCell ref="B137:H137"/>
    <mergeCell ref="A138:H138"/>
    <mergeCell ref="A136:H136"/>
    <mergeCell ref="D261:E261"/>
    <mergeCell ref="H261:I261"/>
    <mergeCell ref="A185:B185"/>
    <mergeCell ref="A186:B186"/>
    <mergeCell ref="F186:G186"/>
    <mergeCell ref="A188:I188"/>
    <mergeCell ref="A189:I189"/>
    <mergeCell ref="E224:F224"/>
    <mergeCell ref="H258:I258"/>
    <mergeCell ref="H259:I259"/>
    <mergeCell ref="A253:I253"/>
    <mergeCell ref="A254:I255"/>
    <mergeCell ref="A252:F252"/>
    <mergeCell ref="D257:E257"/>
    <mergeCell ref="D258:E258"/>
    <mergeCell ref="H257:I257"/>
    <mergeCell ref="G248:I248"/>
    <mergeCell ref="D256:E256"/>
    <mergeCell ref="E250:F250"/>
    <mergeCell ref="A249:I249"/>
    <mergeCell ref="A259:G259"/>
    <mergeCell ref="G250:I250"/>
    <mergeCell ref="C250:D250"/>
    <mergeCell ref="C234:D234"/>
    <mergeCell ref="E234:F234"/>
    <mergeCell ref="G244:I244"/>
    <mergeCell ref="A191:H191"/>
    <mergeCell ref="A192:H192"/>
    <mergeCell ref="A260:I260"/>
    <mergeCell ref="H256:I256"/>
    <mergeCell ref="G251:I251"/>
    <mergeCell ref="A224:B224"/>
    <mergeCell ref="G224:I224"/>
    <mergeCell ref="A221:B221"/>
    <mergeCell ref="C224:D224"/>
    <mergeCell ref="A251:B251"/>
    <mergeCell ref="G247:I247"/>
    <mergeCell ref="A247:B247"/>
    <mergeCell ref="C247:D247"/>
    <mergeCell ref="E247:F247"/>
    <mergeCell ref="A248:F248"/>
    <mergeCell ref="C251:D251"/>
    <mergeCell ref="E251:F251"/>
    <mergeCell ref="G252:I252"/>
    <mergeCell ref="B140:H140"/>
    <mergeCell ref="F19:G19"/>
    <mergeCell ref="A19:E19"/>
    <mergeCell ref="B52:G52"/>
    <mergeCell ref="A34:I34"/>
    <mergeCell ref="A26:E26"/>
    <mergeCell ref="A164:I164"/>
    <mergeCell ref="B157:G157"/>
    <mergeCell ref="B158:G158"/>
    <mergeCell ref="A150:G150"/>
    <mergeCell ref="B142:H142"/>
    <mergeCell ref="B143:H143"/>
    <mergeCell ref="A147:H147"/>
    <mergeCell ref="B156:G156"/>
    <mergeCell ref="A139:I139"/>
    <mergeCell ref="A119:I119"/>
    <mergeCell ref="B120:H120"/>
    <mergeCell ref="B70:G70"/>
    <mergeCell ref="B145:H145"/>
    <mergeCell ref="B134:H134"/>
    <mergeCell ref="B141:H141"/>
    <mergeCell ref="B146:H146"/>
    <mergeCell ref="A154:G154"/>
    <mergeCell ref="B131:H131"/>
    <mergeCell ref="B8:G8"/>
    <mergeCell ref="H8:I8"/>
    <mergeCell ref="B11:G11"/>
    <mergeCell ref="H11:I11"/>
    <mergeCell ref="A110:H110"/>
    <mergeCell ref="A81:I81"/>
    <mergeCell ref="A82:I82"/>
    <mergeCell ref="B87:H87"/>
    <mergeCell ref="B88:H88"/>
    <mergeCell ref="A89:H89"/>
    <mergeCell ref="A27:E27"/>
    <mergeCell ref="F27:G27"/>
    <mergeCell ref="A31:E31"/>
    <mergeCell ref="F31:G31"/>
    <mergeCell ref="A38:E38"/>
    <mergeCell ref="A12:I12"/>
    <mergeCell ref="H42:I42"/>
    <mergeCell ref="A42:G42"/>
    <mergeCell ref="B77:H77"/>
    <mergeCell ref="B64:H64"/>
    <mergeCell ref="B61:G61"/>
    <mergeCell ref="B74:H74"/>
    <mergeCell ref="B75:H75"/>
    <mergeCell ref="B76:H76"/>
    <mergeCell ref="A4:E4"/>
    <mergeCell ref="A5:E5"/>
    <mergeCell ref="F4:I4"/>
    <mergeCell ref="A198:I198"/>
    <mergeCell ref="A201:I201"/>
    <mergeCell ref="A173:H173"/>
    <mergeCell ref="A172:I172"/>
    <mergeCell ref="A182:I182"/>
    <mergeCell ref="F184:G184"/>
    <mergeCell ref="F185:G185"/>
    <mergeCell ref="A23:E23"/>
    <mergeCell ref="A24:E24"/>
    <mergeCell ref="B10:G10"/>
    <mergeCell ref="H10:I10"/>
    <mergeCell ref="B9:G9"/>
    <mergeCell ref="H9:I9"/>
    <mergeCell ref="H14:I14"/>
    <mergeCell ref="H13:I13"/>
    <mergeCell ref="H16:I16"/>
    <mergeCell ref="H17:I17"/>
    <mergeCell ref="A6:I6"/>
    <mergeCell ref="A7:I7"/>
    <mergeCell ref="B115:H115"/>
    <mergeCell ref="B117:H117"/>
    <mergeCell ref="H333:I333"/>
    <mergeCell ref="A333:G333"/>
    <mergeCell ref="A330:I331"/>
    <mergeCell ref="A327:G327"/>
    <mergeCell ref="A328:G328"/>
    <mergeCell ref="A296:C296"/>
    <mergeCell ref="H266:I266"/>
    <mergeCell ref="H267:I267"/>
    <mergeCell ref="H270:I270"/>
    <mergeCell ref="A269:I269"/>
    <mergeCell ref="A267:G267"/>
    <mergeCell ref="D270:E270"/>
    <mergeCell ref="D295:E295"/>
    <mergeCell ref="A291:C291"/>
    <mergeCell ref="D291:E291"/>
    <mergeCell ref="G290:I290"/>
    <mergeCell ref="G291:I291"/>
    <mergeCell ref="A290:C290"/>
    <mergeCell ref="D290:E290"/>
    <mergeCell ref="A300:E300"/>
    <mergeCell ref="A299:C299"/>
    <mergeCell ref="A301:I301"/>
    <mergeCell ref="H328:I328"/>
    <mergeCell ref="G311:I311"/>
    <mergeCell ref="H335:I335"/>
    <mergeCell ref="H336:I336"/>
    <mergeCell ref="A329:I329"/>
    <mergeCell ref="A334:G334"/>
    <mergeCell ref="A336:G336"/>
    <mergeCell ref="G288:I288"/>
    <mergeCell ref="G289:I289"/>
    <mergeCell ref="G294:I294"/>
    <mergeCell ref="H327:I327"/>
    <mergeCell ref="G314:I314"/>
    <mergeCell ref="G292:I292"/>
    <mergeCell ref="A325:G326"/>
    <mergeCell ref="D296:E296"/>
    <mergeCell ref="A292:E292"/>
    <mergeCell ref="A294:C294"/>
    <mergeCell ref="A295:C295"/>
    <mergeCell ref="D294:E294"/>
    <mergeCell ref="A293:I293"/>
    <mergeCell ref="D299:E299"/>
    <mergeCell ref="G295:I295"/>
    <mergeCell ref="H334:I334"/>
    <mergeCell ref="H325:I326"/>
    <mergeCell ref="A332:I332"/>
    <mergeCell ref="A311:E311"/>
    <mergeCell ref="A171:I171"/>
    <mergeCell ref="A148:I148"/>
    <mergeCell ref="B149:G149"/>
    <mergeCell ref="B151:G151"/>
    <mergeCell ref="A170:I170"/>
    <mergeCell ref="A169:I169"/>
    <mergeCell ref="C166:I166"/>
    <mergeCell ref="A165:G165"/>
    <mergeCell ref="A166:B168"/>
    <mergeCell ref="C167:I167"/>
    <mergeCell ref="B161:G161"/>
    <mergeCell ref="C168:I168"/>
    <mergeCell ref="A163:H163"/>
  </mergeCells>
  <phoneticPr fontId="0" type="noConversion"/>
  <pageMargins left="0.78740157480314965" right="0.31496062992125984" top="0.43307086614173229" bottom="0.31496062992125984" header="3.937007874015748E-2" footer="3.937007874015748E-2"/>
  <pageSetup paperSize="9" scale="76" orientation="portrait" horizontalDpi="1200" r:id="rId1"/>
  <headerFooter alignWithMargins="0"/>
  <rowBreaks count="7" manualBreakCount="7">
    <brk id="56" max="8" man="1"/>
    <brk id="105" max="8" man="1"/>
    <brk id="147" max="8" man="1"/>
    <brk id="197" max="8" man="1"/>
    <brk id="248" max="8" man="1"/>
    <brk id="282" max="8" man="1"/>
    <brk id="337" max="7" man="1"/>
  </rowBreaks>
  <legacyDrawing r:id="rId2"/>
</worksheet>
</file>

<file path=xl/worksheets/sheet4.xml><?xml version="1.0" encoding="utf-8"?>
<worksheet xmlns="http://schemas.openxmlformats.org/spreadsheetml/2006/main" xmlns:r="http://schemas.openxmlformats.org/officeDocument/2006/relationships">
  <dimension ref="A2:IV350"/>
  <sheetViews>
    <sheetView view="pageBreakPreview" topLeftCell="A49" zoomScale="120" zoomScaleNormal="100" zoomScaleSheetLayoutView="120" workbookViewId="0">
      <selection activeCell="D286" sqref="D286:E286"/>
    </sheetView>
  </sheetViews>
  <sheetFormatPr defaultRowHeight="12"/>
  <cols>
    <col min="1" max="1" width="15.28515625" style="1" customWidth="1"/>
    <col min="2" max="2" width="11.140625" style="1" customWidth="1"/>
    <col min="3" max="3" width="13.28515625" style="1" customWidth="1"/>
    <col min="4" max="4" width="10.140625" style="1" customWidth="1"/>
    <col min="5" max="5" width="12.42578125" style="1" bestFit="1" customWidth="1"/>
    <col min="6" max="6" width="11.28515625" style="1" bestFit="1" customWidth="1"/>
    <col min="7" max="7" width="9.85546875" style="1" customWidth="1"/>
    <col min="8" max="8" width="12.42578125" style="1" customWidth="1"/>
    <col min="9" max="9" width="14.5703125" style="46" customWidth="1"/>
    <col min="10" max="10" width="10.7109375" style="1" customWidth="1"/>
    <col min="11" max="11" width="11.140625" style="1" customWidth="1"/>
    <col min="12" max="12" width="7.42578125" style="1" customWidth="1"/>
    <col min="13" max="13" width="6.5703125" style="1" customWidth="1"/>
    <col min="14" max="15" width="9.28515625" style="1" bestFit="1" customWidth="1"/>
    <col min="16" max="16384" width="9.140625" style="1"/>
  </cols>
  <sheetData>
    <row r="2" spans="1:9" ht="23.25">
      <c r="A2" s="483" t="s">
        <v>84</v>
      </c>
      <c r="B2" s="483"/>
      <c r="C2" s="483"/>
      <c r="D2" s="483"/>
      <c r="E2" s="483"/>
      <c r="F2" s="483"/>
      <c r="G2" s="483"/>
      <c r="H2" s="483"/>
      <c r="I2" s="484"/>
    </row>
    <row r="3" spans="1:9" ht="48.75" customHeight="1">
      <c r="A3" s="489" t="s">
        <v>35</v>
      </c>
      <c r="B3" s="489"/>
      <c r="C3" s="489"/>
      <c r="D3" s="489"/>
      <c r="E3" s="489"/>
      <c r="F3" s="489"/>
      <c r="G3" s="489"/>
      <c r="H3" s="489"/>
      <c r="I3" s="490"/>
    </row>
    <row r="4" spans="1:9" ht="15.75" customHeight="1">
      <c r="A4" s="532" t="s">
        <v>296</v>
      </c>
      <c r="B4" s="533"/>
      <c r="C4" s="533"/>
      <c r="D4" s="533"/>
      <c r="E4" s="629"/>
      <c r="F4" s="614" t="s">
        <v>39</v>
      </c>
      <c r="G4" s="615"/>
      <c r="H4" s="615"/>
      <c r="I4" s="616"/>
    </row>
    <row r="5" spans="1:9" ht="15.75" customHeight="1">
      <c r="A5" s="532" t="s">
        <v>297</v>
      </c>
      <c r="B5" s="533"/>
      <c r="C5" s="533"/>
      <c r="D5" s="533"/>
      <c r="E5" s="629"/>
      <c r="F5" s="614" t="s">
        <v>41</v>
      </c>
      <c r="G5" s="615"/>
      <c r="H5" s="615"/>
      <c r="I5" s="616"/>
    </row>
    <row r="6" spans="1:9" ht="21.75" customHeight="1">
      <c r="A6" s="507" t="s">
        <v>40</v>
      </c>
      <c r="B6" s="714"/>
      <c r="C6" s="714"/>
      <c r="D6" s="714"/>
      <c r="E6" s="714"/>
      <c r="F6" s="714"/>
      <c r="G6" s="714"/>
      <c r="H6" s="714"/>
      <c r="I6" s="714"/>
    </row>
    <row r="7" spans="1:9" ht="20.25" customHeight="1">
      <c r="A7" s="528" t="s">
        <v>258</v>
      </c>
      <c r="B7" s="715"/>
      <c r="C7" s="715"/>
      <c r="D7" s="715"/>
      <c r="E7" s="715"/>
      <c r="F7" s="715"/>
      <c r="G7" s="715"/>
      <c r="H7" s="715"/>
      <c r="I7" s="636"/>
    </row>
    <row r="8" spans="1:9" ht="15.75" customHeight="1">
      <c r="A8" s="84" t="s">
        <v>259</v>
      </c>
      <c r="B8" s="507" t="s">
        <v>260</v>
      </c>
      <c r="C8" s="714"/>
      <c r="D8" s="714"/>
      <c r="E8" s="714"/>
      <c r="F8" s="714"/>
      <c r="G8" s="714"/>
      <c r="H8" s="716">
        <v>42368</v>
      </c>
      <c r="I8" s="616"/>
    </row>
    <row r="9" spans="1:9" ht="15.75" customHeight="1">
      <c r="A9" s="84" t="s">
        <v>261</v>
      </c>
      <c r="B9" s="507" t="s">
        <v>262</v>
      </c>
      <c r="C9" s="714"/>
      <c r="D9" s="714"/>
      <c r="E9" s="714"/>
      <c r="F9" s="714"/>
      <c r="G9" s="714"/>
      <c r="H9" s="719" t="s">
        <v>228</v>
      </c>
      <c r="I9" s="719"/>
    </row>
    <row r="10" spans="1:9" ht="37.5" customHeight="1">
      <c r="A10" s="84" t="s">
        <v>263</v>
      </c>
      <c r="B10" s="532" t="s">
        <v>352</v>
      </c>
      <c r="C10" s="653"/>
      <c r="D10" s="653"/>
      <c r="E10" s="653"/>
      <c r="F10" s="653"/>
      <c r="G10" s="654"/>
      <c r="H10" s="614" t="s">
        <v>42</v>
      </c>
      <c r="I10" s="616"/>
    </row>
    <row r="11" spans="1:9" ht="15.75" customHeight="1">
      <c r="A11" s="84" t="s">
        <v>264</v>
      </c>
      <c r="B11" s="532" t="s">
        <v>265</v>
      </c>
      <c r="C11" s="653"/>
      <c r="D11" s="653"/>
      <c r="E11" s="653"/>
      <c r="F11" s="653"/>
      <c r="G11" s="654"/>
      <c r="H11" s="614">
        <v>12</v>
      </c>
      <c r="I11" s="616"/>
    </row>
    <row r="12" spans="1:9" ht="27.75" customHeight="1">
      <c r="A12" s="850" t="s">
        <v>266</v>
      </c>
      <c r="B12" s="851"/>
      <c r="C12" s="851"/>
      <c r="D12" s="851"/>
      <c r="E12" s="851"/>
      <c r="F12" s="851"/>
      <c r="G12" s="851"/>
      <c r="H12" s="851"/>
      <c r="I12" s="852"/>
    </row>
    <row r="13" spans="1:9" ht="43.5" customHeight="1">
      <c r="A13" s="338" t="s">
        <v>331</v>
      </c>
      <c r="B13" s="503"/>
      <c r="C13" s="503"/>
      <c r="D13" s="503"/>
      <c r="E13" s="503"/>
      <c r="F13" s="338" t="s">
        <v>353</v>
      </c>
      <c r="G13" s="447"/>
      <c r="H13" s="717" t="s">
        <v>267</v>
      </c>
      <c r="I13" s="718"/>
    </row>
    <row r="14" spans="1:9" ht="12.75" customHeight="1">
      <c r="A14" s="428" t="s">
        <v>167</v>
      </c>
      <c r="B14" s="512"/>
      <c r="C14" s="512"/>
      <c r="D14" s="512"/>
      <c r="E14" s="512"/>
      <c r="F14" s="496" t="s">
        <v>268</v>
      </c>
      <c r="G14" s="496"/>
      <c r="H14" s="495">
        <v>2000</v>
      </c>
      <c r="I14" s="393"/>
    </row>
    <row r="15" spans="1:9" ht="12.75" customHeight="1">
      <c r="A15" s="428" t="s">
        <v>168</v>
      </c>
      <c r="B15" s="512"/>
      <c r="C15" s="512"/>
      <c r="D15" s="512"/>
      <c r="E15" s="512"/>
      <c r="F15" s="496" t="s">
        <v>268</v>
      </c>
      <c r="G15" s="496"/>
      <c r="H15" s="495">
        <v>4000</v>
      </c>
      <c r="I15" s="393"/>
    </row>
    <row r="16" spans="1:9" ht="12.75" customHeight="1">
      <c r="A16" s="360" t="s">
        <v>169</v>
      </c>
      <c r="B16" s="497"/>
      <c r="C16" s="497"/>
      <c r="D16" s="497"/>
      <c r="E16" s="498"/>
      <c r="F16" s="493" t="s">
        <v>268</v>
      </c>
      <c r="G16" s="494"/>
      <c r="H16" s="495">
        <v>0</v>
      </c>
      <c r="I16" s="393"/>
    </row>
    <row r="17" spans="1:15" ht="12.75" customHeight="1">
      <c r="A17" s="360" t="s">
        <v>170</v>
      </c>
      <c r="B17" s="497"/>
      <c r="C17" s="497"/>
      <c r="D17" s="497"/>
      <c r="E17" s="498"/>
      <c r="F17" s="493" t="s">
        <v>268</v>
      </c>
      <c r="G17" s="494"/>
      <c r="H17" s="495">
        <v>400</v>
      </c>
      <c r="I17" s="393"/>
    </row>
    <row r="18" spans="1:15" ht="12.75" customHeight="1">
      <c r="A18" s="360" t="s">
        <v>171</v>
      </c>
      <c r="B18" s="497"/>
      <c r="C18" s="497"/>
      <c r="D18" s="497"/>
      <c r="E18" s="498"/>
      <c r="F18" s="493" t="s">
        <v>268</v>
      </c>
      <c r="G18" s="494"/>
      <c r="H18" s="495">
        <v>0</v>
      </c>
      <c r="I18" s="393"/>
    </row>
    <row r="19" spans="1:15" ht="12.75" customHeight="1">
      <c r="A19" s="360" t="s">
        <v>172</v>
      </c>
      <c r="B19" s="497"/>
      <c r="C19" s="497"/>
      <c r="D19" s="497"/>
      <c r="E19" s="498"/>
      <c r="F19" s="493" t="s">
        <v>268</v>
      </c>
      <c r="G19" s="494"/>
      <c r="H19" s="495">
        <v>600</v>
      </c>
      <c r="I19" s="393"/>
    </row>
    <row r="20" spans="1:15" ht="12.75" customHeight="1">
      <c r="A20" s="499" t="s">
        <v>173</v>
      </c>
      <c r="B20" s="386"/>
      <c r="C20" s="386"/>
      <c r="D20" s="386"/>
      <c r="E20" s="386"/>
      <c r="F20" s="386"/>
      <c r="G20" s="500"/>
      <c r="H20" s="394">
        <f>ROUND(H14+H15+H16+H17+H18+H19,2)</f>
        <v>7000</v>
      </c>
      <c r="I20" s="500"/>
    </row>
    <row r="21" spans="1:15" ht="8.25" customHeight="1">
      <c r="A21" s="374"/>
      <c r="B21" s="485"/>
      <c r="C21" s="485"/>
      <c r="D21" s="485"/>
      <c r="E21" s="485"/>
      <c r="F21" s="485"/>
      <c r="G21" s="485"/>
      <c r="H21" s="485"/>
      <c r="I21" s="486"/>
    </row>
    <row r="22" spans="1:15" ht="23.25" customHeight="1">
      <c r="A22" s="428" t="s">
        <v>174</v>
      </c>
      <c r="B22" s="512"/>
      <c r="C22" s="512"/>
      <c r="D22" s="512"/>
      <c r="E22" s="512"/>
      <c r="F22" s="496" t="s">
        <v>268</v>
      </c>
      <c r="G22" s="496"/>
      <c r="H22" s="487">
        <v>500</v>
      </c>
      <c r="I22" s="488"/>
    </row>
    <row r="23" spans="1:15" ht="12.75" customHeight="1">
      <c r="A23" s="428" t="s">
        <v>175</v>
      </c>
      <c r="B23" s="513"/>
      <c r="C23" s="513"/>
      <c r="D23" s="513"/>
      <c r="E23" s="513"/>
      <c r="F23" s="508" t="s">
        <v>268</v>
      </c>
      <c r="G23" s="508"/>
      <c r="H23" s="487">
        <v>1200</v>
      </c>
      <c r="I23" s="488"/>
    </row>
    <row r="24" spans="1:15" ht="12.75" customHeight="1">
      <c r="A24" s="428" t="s">
        <v>176</v>
      </c>
      <c r="B24" s="513"/>
      <c r="C24" s="513"/>
      <c r="D24" s="513"/>
      <c r="E24" s="513"/>
      <c r="F24" s="496" t="s">
        <v>268</v>
      </c>
      <c r="G24" s="496"/>
      <c r="H24" s="487">
        <v>100</v>
      </c>
      <c r="I24" s="488"/>
    </row>
    <row r="25" spans="1:15" ht="15.75" customHeight="1">
      <c r="A25" s="428" t="s">
        <v>177</v>
      </c>
      <c r="B25" s="513"/>
      <c r="C25" s="513"/>
      <c r="D25" s="513"/>
      <c r="E25" s="513"/>
      <c r="F25" s="508" t="s">
        <v>268</v>
      </c>
      <c r="G25" s="508"/>
      <c r="H25" s="487">
        <v>150</v>
      </c>
      <c r="I25" s="488"/>
    </row>
    <row r="26" spans="1:15" ht="14.25" customHeight="1">
      <c r="A26" s="428" t="s">
        <v>178</v>
      </c>
      <c r="B26" s="513"/>
      <c r="C26" s="513"/>
      <c r="D26" s="513"/>
      <c r="E26" s="513"/>
      <c r="F26" s="508" t="s">
        <v>268</v>
      </c>
      <c r="G26" s="508"/>
      <c r="H26" s="487">
        <v>250</v>
      </c>
      <c r="I26" s="488"/>
      <c r="J26" s="2" t="s">
        <v>141</v>
      </c>
      <c r="K26" s="2" t="s">
        <v>140</v>
      </c>
      <c r="L26" s="2" t="s">
        <v>143</v>
      </c>
      <c r="M26" s="2" t="s">
        <v>142</v>
      </c>
      <c r="N26" s="1" t="s">
        <v>157</v>
      </c>
      <c r="O26" s="1" t="s">
        <v>156</v>
      </c>
    </row>
    <row r="27" spans="1:15" ht="26.25" customHeight="1">
      <c r="A27" s="428" t="s">
        <v>179</v>
      </c>
      <c r="B27" s="513"/>
      <c r="C27" s="513"/>
      <c r="D27" s="513"/>
      <c r="E27" s="513"/>
      <c r="F27" s="496" t="s">
        <v>268</v>
      </c>
      <c r="G27" s="496"/>
      <c r="H27" s="487">
        <v>800</v>
      </c>
      <c r="I27" s="488"/>
      <c r="J27" s="12">
        <f>H59</f>
        <v>0</v>
      </c>
      <c r="K27" s="1">
        <v>220</v>
      </c>
      <c r="L27" s="1">
        <f>ROUND(J27/K27,2)</f>
        <v>0</v>
      </c>
      <c r="M27" s="1">
        <f>8*15*0</f>
        <v>0</v>
      </c>
      <c r="N27" s="12">
        <v>0</v>
      </c>
      <c r="O27" s="11">
        <v>0.5</v>
      </c>
    </row>
    <row r="28" spans="1:15" ht="15" customHeight="1">
      <c r="A28" s="515" t="s">
        <v>180</v>
      </c>
      <c r="B28" s="516"/>
      <c r="C28" s="516"/>
      <c r="D28" s="516"/>
      <c r="E28" s="516"/>
      <c r="F28" s="516"/>
      <c r="G28" s="516"/>
      <c r="H28" s="491">
        <f>ROUND(H22+H23+H24+H25+H26+H27,2)</f>
        <v>3000</v>
      </c>
      <c r="I28" s="492"/>
      <c r="J28" s="12"/>
      <c r="N28" s="12"/>
      <c r="O28" s="11"/>
    </row>
    <row r="29" spans="1:15" ht="7.5" customHeight="1">
      <c r="A29" s="374"/>
      <c r="B29" s="485"/>
      <c r="C29" s="485"/>
      <c r="D29" s="485"/>
      <c r="E29" s="485"/>
      <c r="F29" s="485"/>
      <c r="G29" s="485"/>
      <c r="H29" s="485"/>
      <c r="I29" s="486"/>
      <c r="J29" s="1" t="s">
        <v>138</v>
      </c>
      <c r="K29" s="1" t="s">
        <v>139</v>
      </c>
      <c r="N29" s="12"/>
      <c r="O29" s="11"/>
    </row>
    <row r="30" spans="1:15" ht="27" customHeight="1">
      <c r="A30" s="428" t="s">
        <v>181</v>
      </c>
      <c r="B30" s="512"/>
      <c r="C30" s="512"/>
      <c r="D30" s="512"/>
      <c r="E30" s="512"/>
      <c r="F30" s="496" t="s">
        <v>268</v>
      </c>
      <c r="G30" s="496"/>
      <c r="H30" s="487">
        <v>100</v>
      </c>
      <c r="I30" s="488"/>
      <c r="J30" s="11">
        <v>0</v>
      </c>
      <c r="K30" s="11">
        <v>0</v>
      </c>
    </row>
    <row r="31" spans="1:15" ht="25.5" customHeight="1">
      <c r="A31" s="428" t="s">
        <v>182</v>
      </c>
      <c r="B31" s="512"/>
      <c r="C31" s="512"/>
      <c r="D31" s="512"/>
      <c r="E31" s="512"/>
      <c r="F31" s="496" t="s">
        <v>268</v>
      </c>
      <c r="G31" s="496"/>
      <c r="H31" s="487">
        <v>250</v>
      </c>
      <c r="I31" s="488"/>
      <c r="J31" s="11">
        <v>0.1</v>
      </c>
      <c r="K31" s="11">
        <v>0.3</v>
      </c>
    </row>
    <row r="32" spans="1:15" ht="12.75">
      <c r="A32" s="360" t="s">
        <v>183</v>
      </c>
      <c r="B32" s="497"/>
      <c r="C32" s="497"/>
      <c r="D32" s="497"/>
      <c r="E32" s="498"/>
      <c r="F32" s="493" t="s">
        <v>268</v>
      </c>
      <c r="G32" s="494"/>
      <c r="H32" s="487">
        <v>350</v>
      </c>
      <c r="I32" s="488"/>
    </row>
    <row r="33" spans="1:12" ht="12.75">
      <c r="A33" s="509" t="s">
        <v>216</v>
      </c>
      <c r="B33" s="510"/>
      <c r="C33" s="510"/>
      <c r="D33" s="510"/>
      <c r="E33" s="510"/>
      <c r="F33" s="510"/>
      <c r="G33" s="511"/>
      <c r="H33" s="491">
        <f>ROUND(H30+H31+H32,2)</f>
        <v>700</v>
      </c>
      <c r="I33" s="492"/>
    </row>
    <row r="34" spans="1:12" ht="7.5" customHeight="1">
      <c r="A34" s="676"/>
      <c r="B34" s="485"/>
      <c r="C34" s="485"/>
      <c r="D34" s="485"/>
      <c r="E34" s="485"/>
      <c r="F34" s="485"/>
      <c r="G34" s="485"/>
      <c r="H34" s="485"/>
      <c r="I34" s="486"/>
    </row>
    <row r="35" spans="1:12" ht="12.75">
      <c r="A35" s="514" t="s">
        <v>214</v>
      </c>
      <c r="B35" s="514"/>
      <c r="C35" s="514"/>
      <c r="D35" s="514"/>
      <c r="E35" s="514"/>
      <c r="F35" s="493" t="s">
        <v>268</v>
      </c>
      <c r="G35" s="494"/>
      <c r="H35" s="391">
        <v>70</v>
      </c>
      <c r="I35" s="393"/>
    </row>
    <row r="36" spans="1:12" ht="12.75" customHeight="1">
      <c r="A36" s="681" t="s">
        <v>215</v>
      </c>
      <c r="B36" s="682"/>
      <c r="C36" s="682"/>
      <c r="D36" s="682"/>
      <c r="E36" s="682"/>
      <c r="F36" s="682"/>
      <c r="G36" s="683"/>
      <c r="H36" s="394">
        <f>H35</f>
        <v>70</v>
      </c>
      <c r="I36" s="500"/>
    </row>
    <row r="37" spans="1:12" ht="7.5" customHeight="1">
      <c r="A37" s="688"/>
      <c r="B37" s="689"/>
      <c r="C37" s="689"/>
      <c r="D37" s="689"/>
      <c r="E37" s="689"/>
      <c r="F37" s="689"/>
      <c r="G37" s="689"/>
      <c r="H37" s="689"/>
      <c r="I37" s="690"/>
    </row>
    <row r="38" spans="1:12" s="4" customFormat="1" ht="12.75">
      <c r="A38" s="514" t="s">
        <v>184</v>
      </c>
      <c r="B38" s="514"/>
      <c r="C38" s="514"/>
      <c r="D38" s="514"/>
      <c r="E38" s="514"/>
      <c r="F38" s="508" t="s">
        <v>268</v>
      </c>
      <c r="G38" s="508"/>
      <c r="H38" s="686">
        <v>0</v>
      </c>
      <c r="I38" s="687"/>
      <c r="J38" s="13" t="s">
        <v>144</v>
      </c>
      <c r="K38" s="1" t="s">
        <v>145</v>
      </c>
      <c r="L38" s="1" t="s">
        <v>146</v>
      </c>
    </row>
    <row r="39" spans="1:12" ht="12.75">
      <c r="A39" s="665" t="s">
        <v>91</v>
      </c>
      <c r="B39" s="510"/>
      <c r="C39" s="510"/>
      <c r="D39" s="510"/>
      <c r="E39" s="510"/>
      <c r="F39" s="510"/>
      <c r="G39" s="511"/>
      <c r="H39" s="684">
        <v>0</v>
      </c>
      <c r="I39" s="685"/>
      <c r="J39" s="1">
        <v>2.2999999999999998</v>
      </c>
      <c r="K39" s="14">
        <v>22</v>
      </c>
      <c r="L39" s="15">
        <v>5.5</v>
      </c>
    </row>
    <row r="40" spans="1:12" ht="8.25" customHeight="1">
      <c r="A40" s="122"/>
      <c r="B40" s="119"/>
      <c r="C40" s="119"/>
      <c r="D40" s="119"/>
      <c r="E40" s="119"/>
      <c r="F40" s="119"/>
      <c r="G40" s="119"/>
      <c r="H40" s="120"/>
      <c r="I40" s="121"/>
      <c r="K40" s="14"/>
      <c r="L40" s="15"/>
    </row>
    <row r="41" spans="1:12" ht="15.75" customHeight="1">
      <c r="A41" s="666" t="s">
        <v>92</v>
      </c>
      <c r="B41" s="667"/>
      <c r="C41" s="667"/>
      <c r="D41" s="667"/>
      <c r="E41" s="667"/>
      <c r="F41" s="508" t="s">
        <v>268</v>
      </c>
      <c r="G41" s="508"/>
      <c r="H41" s="679">
        <v>0</v>
      </c>
      <c r="I41" s="680"/>
      <c r="K41" s="14"/>
      <c r="L41" s="15"/>
    </row>
    <row r="42" spans="1:12" ht="15" customHeight="1">
      <c r="A42" s="509" t="s">
        <v>90</v>
      </c>
      <c r="B42" s="721"/>
      <c r="C42" s="721"/>
      <c r="D42" s="721"/>
      <c r="E42" s="721"/>
      <c r="F42" s="721"/>
      <c r="G42" s="722"/>
      <c r="H42" s="720">
        <v>0</v>
      </c>
      <c r="I42" s="396"/>
      <c r="K42" s="14"/>
      <c r="L42" s="15"/>
    </row>
    <row r="43" spans="1:12" ht="7.5" customHeight="1">
      <c r="A43" s="676"/>
      <c r="B43" s="485"/>
      <c r="C43" s="485"/>
      <c r="D43" s="485"/>
      <c r="E43" s="485"/>
      <c r="F43" s="485"/>
      <c r="G43" s="485"/>
      <c r="H43" s="485"/>
      <c r="I43" s="486"/>
    </row>
    <row r="44" spans="1:12" ht="12.75" customHeight="1">
      <c r="A44" s="662" t="s">
        <v>269</v>
      </c>
      <c r="B44" s="663"/>
      <c r="C44" s="663"/>
      <c r="D44" s="663"/>
      <c r="E44" s="663"/>
      <c r="F44" s="663"/>
      <c r="G44" s="664"/>
      <c r="H44" s="677">
        <f>ROUND(H20+H28+H33+H36+H39,2)</f>
        <v>10770</v>
      </c>
      <c r="I44" s="678"/>
    </row>
    <row r="45" spans="1:12" ht="7.5" customHeight="1">
      <c r="A45" s="670"/>
      <c r="B45" s="671"/>
      <c r="C45" s="671"/>
      <c r="D45" s="671"/>
      <c r="E45" s="671"/>
      <c r="F45" s="671"/>
      <c r="G45" s="671"/>
      <c r="H45" s="671"/>
      <c r="I45" s="671"/>
      <c r="J45" s="5"/>
      <c r="K45" s="6"/>
      <c r="L45" s="7"/>
    </row>
    <row r="46" spans="1:12" ht="57" customHeight="1">
      <c r="A46" s="673" t="s">
        <v>401</v>
      </c>
      <c r="B46" s="674"/>
      <c r="C46" s="674"/>
      <c r="D46" s="674"/>
      <c r="E46" s="674"/>
      <c r="F46" s="674"/>
      <c r="G46" s="674"/>
      <c r="H46" s="674"/>
      <c r="I46" s="675"/>
      <c r="J46" s="5"/>
      <c r="K46" s="6"/>
      <c r="L46" s="7"/>
    </row>
    <row r="47" spans="1:12" ht="7.5" customHeight="1">
      <c r="A47" s="670"/>
      <c r="B47" s="474"/>
      <c r="C47" s="474"/>
      <c r="D47" s="474"/>
      <c r="E47" s="474"/>
      <c r="F47" s="474"/>
      <c r="G47" s="474"/>
      <c r="H47" s="474"/>
      <c r="I47" s="474"/>
      <c r="J47" s="5"/>
      <c r="K47" s="6"/>
      <c r="L47" s="7"/>
    </row>
    <row r="48" spans="1:12" ht="64.5" customHeight="1">
      <c r="A48" s="539" t="s">
        <v>415</v>
      </c>
      <c r="B48" s="853"/>
      <c r="C48" s="853"/>
      <c r="D48" s="853"/>
      <c r="E48" s="853"/>
      <c r="F48" s="853"/>
      <c r="G48" s="853"/>
      <c r="H48" s="853"/>
      <c r="I48" s="854"/>
      <c r="J48" s="5"/>
      <c r="K48" s="6"/>
      <c r="L48" s="7"/>
    </row>
    <row r="49" spans="1:256" ht="21.75" customHeight="1">
      <c r="A49" s="528" t="s">
        <v>161</v>
      </c>
      <c r="B49" s="529"/>
      <c r="C49" s="529"/>
      <c r="D49" s="529"/>
      <c r="E49" s="529"/>
      <c r="F49" s="529"/>
      <c r="G49" s="529"/>
      <c r="H49" s="529"/>
      <c r="I49" s="636"/>
      <c r="J49" s="504"/>
      <c r="K49" s="504"/>
      <c r="L49" s="504"/>
      <c r="M49" s="504"/>
      <c r="N49" s="504"/>
      <c r="O49" s="504"/>
      <c r="P49" s="504"/>
      <c r="Q49" s="504"/>
      <c r="R49" s="504"/>
      <c r="S49" s="504"/>
      <c r="T49" s="504"/>
      <c r="U49" s="504"/>
      <c r="V49" s="504"/>
      <c r="W49" s="504"/>
      <c r="X49" s="504"/>
      <c r="Y49" s="504"/>
      <c r="Z49" s="504"/>
      <c r="AA49" s="504"/>
      <c r="AB49" s="504"/>
      <c r="AC49" s="504"/>
      <c r="AD49" s="504"/>
      <c r="AE49" s="504"/>
      <c r="AF49" s="504"/>
      <c r="AG49" s="504"/>
      <c r="AH49" s="504"/>
      <c r="AI49" s="504"/>
      <c r="AJ49" s="504"/>
      <c r="AK49" s="504"/>
      <c r="AL49" s="504"/>
      <c r="AM49" s="504"/>
      <c r="AN49" s="504"/>
      <c r="AO49" s="504"/>
      <c r="AP49" s="504"/>
      <c r="AQ49" s="504"/>
      <c r="AR49" s="504"/>
      <c r="AS49" s="504"/>
      <c r="AT49" s="504"/>
      <c r="AU49" s="504"/>
      <c r="AV49" s="504"/>
      <c r="AW49" s="504"/>
      <c r="AX49" s="504"/>
      <c r="AY49" s="504"/>
      <c r="AZ49" s="504"/>
      <c r="BA49" s="504"/>
      <c r="BB49" s="504"/>
      <c r="BC49" s="504"/>
      <c r="BD49" s="504"/>
      <c r="BE49" s="504"/>
      <c r="BF49" s="504"/>
      <c r="BG49" s="504"/>
      <c r="BH49" s="504"/>
      <c r="BI49" s="504"/>
      <c r="BJ49" s="504"/>
      <c r="BK49" s="504"/>
      <c r="BL49" s="504"/>
      <c r="BM49" s="504"/>
      <c r="BN49" s="504"/>
      <c r="BO49" s="504"/>
      <c r="BP49" s="504"/>
      <c r="BQ49" s="504"/>
      <c r="BR49" s="504"/>
      <c r="BS49" s="504"/>
      <c r="BT49" s="504"/>
      <c r="BU49" s="504"/>
      <c r="BV49" s="504"/>
      <c r="BW49" s="504"/>
      <c r="BX49" s="504"/>
      <c r="BY49" s="504"/>
      <c r="BZ49" s="504"/>
      <c r="CA49" s="504"/>
      <c r="CB49" s="504"/>
      <c r="CC49" s="504"/>
      <c r="CD49" s="504"/>
      <c r="CE49" s="504"/>
      <c r="CF49" s="504"/>
      <c r="CG49" s="504"/>
      <c r="CH49" s="504"/>
      <c r="CI49" s="504"/>
      <c r="CJ49" s="504"/>
      <c r="CK49" s="504"/>
      <c r="CL49" s="504"/>
      <c r="CM49" s="504"/>
      <c r="CN49" s="504"/>
      <c r="CO49" s="504"/>
      <c r="CP49" s="504"/>
      <c r="CQ49" s="504"/>
      <c r="CR49" s="504"/>
      <c r="CS49" s="504"/>
      <c r="CT49" s="504"/>
      <c r="CU49" s="504"/>
      <c r="CV49" s="504"/>
      <c r="CW49" s="504"/>
      <c r="CX49" s="504"/>
      <c r="CY49" s="504"/>
      <c r="CZ49" s="504"/>
      <c r="DA49" s="504"/>
      <c r="DB49" s="504"/>
      <c r="DC49" s="504"/>
      <c r="DD49" s="504"/>
      <c r="DE49" s="504"/>
      <c r="DF49" s="504"/>
      <c r="DG49" s="504"/>
      <c r="DH49" s="504"/>
      <c r="DI49" s="504"/>
      <c r="DJ49" s="504"/>
      <c r="DK49" s="504"/>
      <c r="DL49" s="504"/>
      <c r="DM49" s="504"/>
      <c r="DN49" s="504"/>
      <c r="DO49" s="504"/>
      <c r="DP49" s="504"/>
      <c r="DQ49" s="504"/>
      <c r="DR49" s="504"/>
      <c r="DS49" s="504"/>
      <c r="DT49" s="504"/>
      <c r="DU49" s="504"/>
      <c r="DV49" s="504"/>
      <c r="DW49" s="504"/>
      <c r="DX49" s="504"/>
      <c r="DY49" s="504"/>
      <c r="DZ49" s="504"/>
      <c r="EA49" s="504"/>
      <c r="EB49" s="504"/>
      <c r="EC49" s="504"/>
      <c r="ED49" s="504"/>
      <c r="EE49" s="504"/>
      <c r="EF49" s="504"/>
      <c r="EG49" s="504"/>
      <c r="EH49" s="504"/>
      <c r="EI49" s="504"/>
      <c r="EJ49" s="504"/>
      <c r="EK49" s="504"/>
      <c r="EL49" s="504"/>
      <c r="EM49" s="504"/>
      <c r="EN49" s="504"/>
      <c r="EO49" s="504"/>
      <c r="EP49" s="504"/>
      <c r="EQ49" s="504"/>
      <c r="ER49" s="504"/>
      <c r="ES49" s="504"/>
      <c r="ET49" s="504"/>
      <c r="EU49" s="504"/>
      <c r="EV49" s="504"/>
      <c r="EW49" s="504"/>
      <c r="EX49" s="504"/>
      <c r="EY49" s="504"/>
      <c r="EZ49" s="504"/>
      <c r="FA49" s="504"/>
      <c r="FB49" s="504"/>
      <c r="FC49" s="504"/>
      <c r="FD49" s="504"/>
      <c r="FE49" s="504"/>
      <c r="FF49" s="504"/>
      <c r="FG49" s="504"/>
      <c r="FH49" s="504"/>
      <c r="FI49" s="504"/>
      <c r="FJ49" s="504"/>
      <c r="FK49" s="504"/>
      <c r="FL49" s="504"/>
      <c r="FM49" s="504"/>
      <c r="FN49" s="504"/>
      <c r="FO49" s="504"/>
      <c r="FP49" s="504"/>
      <c r="FQ49" s="504"/>
      <c r="FR49" s="504"/>
      <c r="FS49" s="504"/>
      <c r="FT49" s="504"/>
      <c r="FU49" s="504"/>
      <c r="FV49" s="504"/>
      <c r="FW49" s="504"/>
      <c r="FX49" s="504"/>
      <c r="FY49" s="504"/>
      <c r="FZ49" s="504"/>
      <c r="GA49" s="504"/>
      <c r="GB49" s="504"/>
      <c r="GC49" s="504"/>
      <c r="GD49" s="504"/>
      <c r="GE49" s="504"/>
      <c r="GF49" s="504"/>
      <c r="GG49" s="504"/>
      <c r="GH49" s="504"/>
      <c r="GI49" s="504"/>
      <c r="GJ49" s="504"/>
      <c r="GK49" s="504"/>
      <c r="GL49" s="504"/>
      <c r="GM49" s="504"/>
      <c r="GN49" s="504"/>
      <c r="GO49" s="504"/>
      <c r="GP49" s="504"/>
      <c r="GQ49" s="504"/>
      <c r="GR49" s="504"/>
      <c r="GS49" s="504"/>
      <c r="GT49" s="504"/>
      <c r="GU49" s="504"/>
      <c r="GV49" s="504"/>
      <c r="GW49" s="504"/>
      <c r="GX49" s="504"/>
      <c r="GY49" s="504"/>
      <c r="GZ49" s="504"/>
      <c r="HA49" s="504"/>
      <c r="HB49" s="504"/>
      <c r="HC49" s="504"/>
      <c r="HD49" s="504"/>
      <c r="HE49" s="504"/>
      <c r="HF49" s="504"/>
      <c r="HG49" s="504"/>
      <c r="HH49" s="504"/>
      <c r="HI49" s="504"/>
      <c r="HJ49" s="504"/>
      <c r="HK49" s="504"/>
      <c r="HL49" s="504"/>
      <c r="HM49" s="504"/>
      <c r="HN49" s="504"/>
      <c r="HO49" s="504"/>
      <c r="HP49" s="504"/>
      <c r="HQ49" s="504"/>
      <c r="HR49" s="504"/>
      <c r="HS49" s="504"/>
      <c r="HT49" s="504"/>
      <c r="HU49" s="504"/>
      <c r="HV49" s="504"/>
      <c r="HW49" s="504"/>
      <c r="HX49" s="504"/>
      <c r="HY49" s="504"/>
      <c r="HZ49" s="504"/>
      <c r="IA49" s="504"/>
      <c r="IB49" s="504"/>
      <c r="IC49" s="504"/>
      <c r="ID49" s="504"/>
      <c r="IE49" s="504"/>
      <c r="IF49" s="504"/>
      <c r="IG49" s="504"/>
      <c r="IH49" s="504"/>
      <c r="II49" s="504"/>
      <c r="IJ49" s="504"/>
      <c r="IK49" s="504"/>
      <c r="IL49" s="504"/>
      <c r="IM49" s="504"/>
      <c r="IN49" s="504"/>
      <c r="IO49" s="504"/>
      <c r="IP49" s="504"/>
      <c r="IQ49" s="504"/>
      <c r="IR49" s="504"/>
      <c r="IS49" s="504"/>
      <c r="IT49" s="504"/>
      <c r="IU49" s="504"/>
      <c r="IV49" s="504"/>
    </row>
    <row r="50" spans="1:256" ht="15.75" customHeight="1">
      <c r="A50" s="84">
        <v>1</v>
      </c>
      <c r="B50" s="507" t="s">
        <v>270</v>
      </c>
      <c r="C50" s="507"/>
      <c r="D50" s="507"/>
      <c r="E50" s="507"/>
      <c r="F50" s="507"/>
      <c r="G50" s="507"/>
      <c r="H50" s="505" t="s">
        <v>271</v>
      </c>
      <c r="I50" s="506"/>
    </row>
    <row r="51" spans="1:256" ht="15.75" customHeight="1">
      <c r="A51" s="84">
        <v>2</v>
      </c>
      <c r="B51" s="507" t="s">
        <v>413</v>
      </c>
      <c r="C51" s="507"/>
      <c r="D51" s="507"/>
      <c r="E51" s="507"/>
      <c r="F51" s="507"/>
      <c r="G51" s="507"/>
      <c r="H51" s="505">
        <v>829.4</v>
      </c>
      <c r="I51" s="669"/>
    </row>
    <row r="52" spans="1:256" ht="15.75" customHeight="1">
      <c r="A52" s="84">
        <v>3</v>
      </c>
      <c r="B52" s="507" t="s">
        <v>341</v>
      </c>
      <c r="C52" s="507"/>
      <c r="D52" s="507"/>
      <c r="E52" s="507"/>
      <c r="F52" s="507"/>
      <c r="G52" s="507"/>
      <c r="H52" s="621" t="s">
        <v>340</v>
      </c>
      <c r="I52" s="622"/>
    </row>
    <row r="53" spans="1:256" ht="15.75" customHeight="1">
      <c r="A53" s="84">
        <v>4</v>
      </c>
      <c r="B53" s="507" t="s">
        <v>125</v>
      </c>
      <c r="C53" s="507"/>
      <c r="D53" s="507"/>
      <c r="E53" s="507"/>
      <c r="F53" s="507"/>
      <c r="G53" s="507"/>
      <c r="H53" s="621" t="s">
        <v>43</v>
      </c>
      <c r="I53" s="622"/>
    </row>
    <row r="54" spans="1:256" ht="9" customHeight="1">
      <c r="A54" s="619"/>
      <c r="B54" s="620"/>
      <c r="C54" s="620"/>
      <c r="D54" s="620"/>
      <c r="E54" s="620"/>
      <c r="F54" s="620"/>
      <c r="G54" s="620"/>
      <c r="H54" s="620"/>
      <c r="I54" s="620"/>
    </row>
    <row r="55" spans="1:256" ht="14.25" customHeight="1">
      <c r="A55" s="666" t="s">
        <v>338</v>
      </c>
      <c r="B55" s="667"/>
      <c r="C55" s="667"/>
      <c r="D55" s="667"/>
      <c r="E55" s="667"/>
      <c r="F55" s="667"/>
      <c r="G55" s="667"/>
      <c r="H55" s="667"/>
      <c r="I55" s="710"/>
    </row>
    <row r="56" spans="1:256" ht="9" customHeight="1">
      <c r="A56" s="711"/>
      <c r="B56" s="712"/>
      <c r="C56" s="712"/>
      <c r="D56" s="712"/>
      <c r="E56" s="712"/>
      <c r="F56" s="712"/>
      <c r="G56" s="712"/>
      <c r="H56" s="712"/>
      <c r="I56" s="713"/>
    </row>
    <row r="57" spans="1:256" ht="36" customHeight="1">
      <c r="A57" s="618" t="s">
        <v>298</v>
      </c>
      <c r="B57" s="431"/>
      <c r="C57" s="431"/>
      <c r="D57" s="431"/>
      <c r="E57" s="431"/>
      <c r="F57" s="431"/>
      <c r="G57" s="431"/>
      <c r="H57" s="431"/>
      <c r="I57" s="340"/>
    </row>
    <row r="58" spans="1:256" s="8" customFormat="1" ht="29.25" customHeight="1">
      <c r="A58" s="60">
        <v>1</v>
      </c>
      <c r="B58" s="855" t="s">
        <v>355</v>
      </c>
      <c r="C58" s="855"/>
      <c r="D58" s="855"/>
      <c r="E58" s="855"/>
      <c r="F58" s="855"/>
      <c r="G58" s="856"/>
      <c r="H58" s="60" t="s">
        <v>385</v>
      </c>
      <c r="I58" s="60" t="s">
        <v>386</v>
      </c>
    </row>
    <row r="59" spans="1:256" ht="27.75" customHeight="1">
      <c r="A59" s="84" t="s">
        <v>259</v>
      </c>
      <c r="B59" s="532" t="s">
        <v>412</v>
      </c>
      <c r="C59" s="533"/>
      <c r="D59" s="533"/>
      <c r="E59" s="533"/>
      <c r="F59" s="533"/>
      <c r="G59" s="533"/>
      <c r="H59" s="624"/>
      <c r="I59" s="87">
        <f>ROUND(((40/6)*30)*(ROUND(H51/220,2)),2)</f>
        <v>754</v>
      </c>
    </row>
    <row r="60" spans="1:256" ht="15.75" customHeight="1">
      <c r="A60" s="84" t="s">
        <v>261</v>
      </c>
      <c r="B60" s="668" t="s">
        <v>435</v>
      </c>
      <c r="C60" s="534"/>
      <c r="D60" s="534"/>
      <c r="E60" s="534"/>
      <c r="F60" s="534"/>
      <c r="G60" s="623"/>
      <c r="H60" s="85"/>
      <c r="I60" s="87"/>
    </row>
    <row r="61" spans="1:256" ht="15.75" customHeight="1">
      <c r="A61" s="84" t="s">
        <v>263</v>
      </c>
      <c r="B61" s="645" t="s">
        <v>44</v>
      </c>
      <c r="C61" s="534"/>
      <c r="D61" s="534"/>
      <c r="E61" s="534"/>
      <c r="F61" s="534"/>
      <c r="G61" s="623"/>
      <c r="H61" s="86">
        <v>0.2</v>
      </c>
      <c r="I61" s="87">
        <f>ROUND(H61*I59,2)</f>
        <v>150.80000000000001</v>
      </c>
    </row>
    <row r="62" spans="1:256" ht="15.75" customHeight="1">
      <c r="A62" s="84" t="s">
        <v>264</v>
      </c>
      <c r="B62" s="532" t="s">
        <v>441</v>
      </c>
      <c r="C62" s="625"/>
      <c r="D62" s="625"/>
      <c r="E62" s="625"/>
      <c r="F62" s="625"/>
      <c r="G62" s="625"/>
      <c r="H62" s="624"/>
      <c r="I62" s="87"/>
    </row>
    <row r="63" spans="1:256" ht="15.75" customHeight="1">
      <c r="A63" s="84" t="s">
        <v>272</v>
      </c>
      <c r="B63" s="532" t="s">
        <v>434</v>
      </c>
      <c r="C63" s="625"/>
      <c r="D63" s="625"/>
      <c r="E63" s="625"/>
      <c r="F63" s="625"/>
      <c r="G63" s="625"/>
      <c r="H63" s="624"/>
      <c r="I63" s="87"/>
    </row>
    <row r="64" spans="1:256" ht="15.75" customHeight="1">
      <c r="A64" s="84" t="s">
        <v>273</v>
      </c>
      <c r="B64" s="532" t="s">
        <v>438</v>
      </c>
      <c r="C64" s="625"/>
      <c r="D64" s="625"/>
      <c r="E64" s="625"/>
      <c r="F64" s="625"/>
      <c r="G64" s="625"/>
      <c r="H64" s="624"/>
      <c r="I64" s="87"/>
    </row>
    <row r="65" spans="1:12" ht="15.75" customHeight="1">
      <c r="A65" s="84" t="s">
        <v>274</v>
      </c>
      <c r="B65" s="532" t="s">
        <v>356</v>
      </c>
      <c r="C65" s="625"/>
      <c r="D65" s="625"/>
      <c r="E65" s="625"/>
      <c r="F65" s="625"/>
      <c r="G65" s="625"/>
      <c r="H65" s="624"/>
      <c r="I65" s="87"/>
    </row>
    <row r="66" spans="1:12" ht="15.75" customHeight="1">
      <c r="A66" s="385" t="s">
        <v>330</v>
      </c>
      <c r="B66" s="534"/>
      <c r="C66" s="534"/>
      <c r="D66" s="534"/>
      <c r="E66" s="534"/>
      <c r="F66" s="534"/>
      <c r="G66" s="534"/>
      <c r="H66" s="623"/>
      <c r="I66" s="68">
        <f>SUM(I59:I65)</f>
        <v>904.8</v>
      </c>
    </row>
    <row r="67" spans="1:12" ht="30" customHeight="1">
      <c r="A67" s="517" t="s">
        <v>276</v>
      </c>
      <c r="B67" s="518"/>
      <c r="C67" s="518"/>
      <c r="D67" s="518"/>
      <c r="E67" s="518"/>
      <c r="F67" s="518"/>
      <c r="G67" s="518"/>
      <c r="H67" s="518"/>
      <c r="I67" s="398"/>
    </row>
    <row r="68" spans="1:12" ht="18.75" customHeight="1">
      <c r="A68" s="75">
        <v>2</v>
      </c>
      <c r="B68" s="528" t="s">
        <v>357</v>
      </c>
      <c r="C68" s="529"/>
      <c r="D68" s="529"/>
      <c r="E68" s="529"/>
      <c r="F68" s="529"/>
      <c r="G68" s="529"/>
      <c r="H68" s="530"/>
      <c r="I68" s="53" t="s">
        <v>127</v>
      </c>
    </row>
    <row r="69" spans="1:12" ht="15.75" customHeight="1">
      <c r="A69" s="52" t="s">
        <v>259</v>
      </c>
      <c r="B69" s="507" t="s">
        <v>347</v>
      </c>
      <c r="C69" s="507"/>
      <c r="D69" s="507"/>
      <c r="E69" s="507"/>
      <c r="F69" s="507"/>
      <c r="G69" s="507"/>
      <c r="H69" s="531"/>
      <c r="I69" s="88">
        <f>IF(ROUND((21*H70*H71)-(I59*0.06),2)&lt;0,0,ROUND((21*H70*H71)-(I59*0.06),2))*1+(H70*H71*21.726-0.06*I59)*0</f>
        <v>91.26</v>
      </c>
      <c r="K69" s="1">
        <f>2*22*2.7</f>
        <v>118.80000000000001</v>
      </c>
    </row>
    <row r="70" spans="1:12" ht="22.5" customHeight="1">
      <c r="A70" s="52"/>
      <c r="B70" s="519" t="s">
        <v>334</v>
      </c>
      <c r="C70" s="520"/>
      <c r="D70" s="520"/>
      <c r="E70" s="520"/>
      <c r="F70" s="520"/>
      <c r="G70" s="520"/>
      <c r="H70" s="91">
        <v>3.25</v>
      </c>
      <c r="I70" s="89" t="s">
        <v>227</v>
      </c>
      <c r="K70" s="1">
        <f>0.06*572*(22/30)</f>
        <v>25.167999999999999</v>
      </c>
      <c r="L70" s="1">
        <f>K69-K70</f>
        <v>93.632000000000005</v>
      </c>
    </row>
    <row r="71" spans="1:12" ht="17.25" customHeight="1">
      <c r="A71" s="52"/>
      <c r="B71" s="521" t="s">
        <v>335</v>
      </c>
      <c r="C71" s="521"/>
      <c r="D71" s="521"/>
      <c r="E71" s="521"/>
      <c r="F71" s="521"/>
      <c r="G71" s="521"/>
      <c r="H71" s="114">
        <v>2</v>
      </c>
      <c r="I71" s="89"/>
    </row>
    <row r="72" spans="1:12" ht="15.75" customHeight="1">
      <c r="A72" s="52" t="s">
        <v>261</v>
      </c>
      <c r="B72" s="532" t="s">
        <v>46</v>
      </c>
      <c r="C72" s="533"/>
      <c r="D72" s="533"/>
      <c r="E72" s="533"/>
      <c r="F72" s="533"/>
      <c r="G72" s="533"/>
      <c r="H72" s="534"/>
      <c r="I72" s="88">
        <f>ROUND(21*H73*(1-0.175),2)*1+ROUND(21.726*6*(1-0.175),2)*0</f>
        <v>225.23</v>
      </c>
    </row>
    <row r="73" spans="1:12" ht="15.75" customHeight="1">
      <c r="A73" s="52"/>
      <c r="B73" s="519" t="s">
        <v>45</v>
      </c>
      <c r="C73" s="520"/>
      <c r="D73" s="520"/>
      <c r="E73" s="520"/>
      <c r="F73" s="520"/>
      <c r="G73" s="520"/>
      <c r="H73" s="91">
        <v>13</v>
      </c>
      <c r="I73" s="89" t="s">
        <v>227</v>
      </c>
    </row>
    <row r="74" spans="1:12" ht="15.75" customHeight="1">
      <c r="A74" s="52" t="s">
        <v>263</v>
      </c>
      <c r="B74" s="532" t="s">
        <v>277</v>
      </c>
      <c r="C74" s="533"/>
      <c r="D74" s="533"/>
      <c r="E74" s="533"/>
      <c r="F74" s="533"/>
      <c r="G74" s="533"/>
      <c r="H74" s="534"/>
      <c r="I74" s="88">
        <v>0</v>
      </c>
    </row>
    <row r="75" spans="1:12" ht="15.75" customHeight="1">
      <c r="A75" s="52" t="s">
        <v>264</v>
      </c>
      <c r="B75" s="652" t="s">
        <v>299</v>
      </c>
      <c r="C75" s="625"/>
      <c r="D75" s="625"/>
      <c r="E75" s="625"/>
      <c r="F75" s="625"/>
      <c r="G75" s="625"/>
      <c r="H75" s="534"/>
      <c r="I75" s="90">
        <v>0</v>
      </c>
    </row>
    <row r="76" spans="1:12" ht="21.75" customHeight="1">
      <c r="A76" s="52" t="s">
        <v>272</v>
      </c>
      <c r="B76" s="532" t="s">
        <v>463</v>
      </c>
      <c r="C76" s="653"/>
      <c r="D76" s="653"/>
      <c r="E76" s="653"/>
      <c r="F76" s="653"/>
      <c r="G76" s="653"/>
      <c r="H76" s="654"/>
      <c r="I76" s="88">
        <f>ROUND(0.001068*5000,2)</f>
        <v>5.34</v>
      </c>
    </row>
    <row r="77" spans="1:12" ht="26.25" customHeight="1">
      <c r="A77" s="52" t="s">
        <v>273</v>
      </c>
      <c r="B77" s="532" t="s">
        <v>459</v>
      </c>
      <c r="C77" s="533"/>
      <c r="D77" s="533"/>
      <c r="E77" s="533"/>
      <c r="F77" s="533"/>
      <c r="G77" s="533"/>
      <c r="H77" s="629"/>
      <c r="I77" s="90">
        <v>8.4600000000000009</v>
      </c>
    </row>
    <row r="78" spans="1:12" ht="15.75" customHeight="1">
      <c r="A78" s="52" t="s">
        <v>274</v>
      </c>
      <c r="B78" s="652" t="s">
        <v>408</v>
      </c>
      <c r="C78" s="625"/>
      <c r="D78" s="625"/>
      <c r="E78" s="625"/>
      <c r="F78" s="625"/>
      <c r="G78" s="625"/>
      <c r="H78" s="534"/>
      <c r="I78" s="125" t="s">
        <v>227</v>
      </c>
    </row>
    <row r="79" spans="1:12" ht="15.75" customHeight="1">
      <c r="A79" s="78"/>
      <c r="B79" s="525" t="s">
        <v>358</v>
      </c>
      <c r="C79" s="526"/>
      <c r="D79" s="526"/>
      <c r="E79" s="526"/>
      <c r="F79" s="526"/>
      <c r="G79" s="526"/>
      <c r="H79" s="527"/>
      <c r="I79" s="55">
        <f>SUM(I69:I77)</f>
        <v>330.28999999999996</v>
      </c>
    </row>
    <row r="80" spans="1:12" ht="7.5" customHeight="1">
      <c r="A80" s="647"/>
      <c r="B80" s="655"/>
      <c r="C80" s="655"/>
      <c r="D80" s="655"/>
      <c r="E80" s="655"/>
      <c r="F80" s="655"/>
      <c r="G80" s="655"/>
      <c r="H80" s="655"/>
      <c r="I80" s="656"/>
    </row>
    <row r="81" spans="1:9" ht="15.75" customHeight="1">
      <c r="A81" s="657" t="s">
        <v>300</v>
      </c>
      <c r="B81" s="653"/>
      <c r="C81" s="653"/>
      <c r="D81" s="653"/>
      <c r="E81" s="653"/>
      <c r="F81" s="653"/>
      <c r="G81" s="653"/>
      <c r="H81" s="653"/>
      <c r="I81" s="654"/>
    </row>
    <row r="82" spans="1:9" ht="7.5" customHeight="1">
      <c r="A82" s="659"/>
      <c r="B82" s="660"/>
      <c r="C82" s="660"/>
      <c r="D82" s="660"/>
      <c r="E82" s="660"/>
      <c r="F82" s="660"/>
      <c r="G82" s="660"/>
      <c r="H82" s="660"/>
      <c r="I82" s="661"/>
    </row>
    <row r="83" spans="1:9" ht="30" customHeight="1">
      <c r="A83" s="657" t="s">
        <v>278</v>
      </c>
      <c r="B83" s="658"/>
      <c r="C83" s="658"/>
      <c r="D83" s="658"/>
      <c r="E83" s="658"/>
      <c r="F83" s="658"/>
      <c r="G83" s="658"/>
      <c r="H83" s="658"/>
      <c r="I83" s="399"/>
    </row>
    <row r="84" spans="1:9" ht="15.75" customHeight="1">
      <c r="A84" s="75">
        <v>3</v>
      </c>
      <c r="B84" s="528" t="s">
        <v>359</v>
      </c>
      <c r="C84" s="529"/>
      <c r="D84" s="529"/>
      <c r="E84" s="529"/>
      <c r="F84" s="529"/>
      <c r="G84" s="529"/>
      <c r="H84" s="651"/>
      <c r="I84" s="75" t="s">
        <v>127</v>
      </c>
    </row>
    <row r="85" spans="1:9" ht="15.75" customHeight="1">
      <c r="A85" s="52" t="s">
        <v>259</v>
      </c>
      <c r="B85" s="532" t="s">
        <v>431</v>
      </c>
      <c r="C85" s="533"/>
      <c r="D85" s="533"/>
      <c r="E85" s="533"/>
      <c r="F85" s="533"/>
      <c r="G85" s="533"/>
      <c r="H85" s="624"/>
      <c r="I85" s="88">
        <v>30</v>
      </c>
    </row>
    <row r="86" spans="1:9" ht="15.75" customHeight="1">
      <c r="A86" s="52" t="s">
        <v>261</v>
      </c>
      <c r="B86" s="532" t="s">
        <v>85</v>
      </c>
      <c r="C86" s="533"/>
      <c r="D86" s="533"/>
      <c r="E86" s="533"/>
      <c r="F86" s="533"/>
      <c r="G86" s="533"/>
      <c r="H86" s="629"/>
      <c r="I86" s="90">
        <v>210</v>
      </c>
    </row>
    <row r="87" spans="1:9" ht="15.75" customHeight="1">
      <c r="A87" s="52" t="s">
        <v>263</v>
      </c>
      <c r="B87" s="652" t="s">
        <v>407</v>
      </c>
      <c r="C87" s="625"/>
      <c r="D87" s="625"/>
      <c r="E87" s="625"/>
      <c r="F87" s="625"/>
      <c r="G87" s="625"/>
      <c r="H87" s="624"/>
      <c r="I87" s="90">
        <v>38</v>
      </c>
    </row>
    <row r="88" spans="1:9" ht="15.75" customHeight="1">
      <c r="A88" s="52" t="s">
        <v>264</v>
      </c>
      <c r="B88" s="532" t="s">
        <v>226</v>
      </c>
      <c r="C88" s="533"/>
      <c r="D88" s="533"/>
      <c r="E88" s="533"/>
      <c r="F88" s="533"/>
      <c r="G88" s="533"/>
      <c r="H88" s="629"/>
      <c r="I88" s="90" t="s">
        <v>285</v>
      </c>
    </row>
    <row r="89" spans="1:9" ht="15.75" customHeight="1">
      <c r="A89" s="525" t="s">
        <v>360</v>
      </c>
      <c r="B89" s="637"/>
      <c r="C89" s="637"/>
      <c r="D89" s="637"/>
      <c r="E89" s="637"/>
      <c r="F89" s="637"/>
      <c r="G89" s="637"/>
      <c r="H89" s="638"/>
      <c r="I89" s="54">
        <f>ROUND(SUM(I85:I88),2)</f>
        <v>278</v>
      </c>
    </row>
    <row r="90" spans="1:9" ht="8.25" customHeight="1">
      <c r="A90" s="641"/>
      <c r="B90" s="642"/>
      <c r="C90" s="642"/>
      <c r="D90" s="642"/>
      <c r="E90" s="642"/>
      <c r="F90" s="642"/>
      <c r="G90" s="642"/>
      <c r="H90" s="642"/>
      <c r="I90" s="643"/>
    </row>
    <row r="91" spans="1:9" ht="15.75" customHeight="1">
      <c r="A91" s="666" t="s">
        <v>339</v>
      </c>
      <c r="B91" s="667"/>
      <c r="C91" s="667"/>
      <c r="D91" s="667"/>
      <c r="E91" s="667"/>
      <c r="F91" s="667"/>
      <c r="G91" s="667"/>
      <c r="H91" s="667"/>
      <c r="I91" s="710"/>
    </row>
    <row r="92" spans="1:9" ht="8.25" customHeight="1">
      <c r="A92" s="63"/>
      <c r="B92" s="61"/>
      <c r="C92" s="61"/>
      <c r="D92" s="61"/>
      <c r="E92" s="61"/>
      <c r="F92" s="61"/>
      <c r="G92" s="61"/>
      <c r="H92" s="61"/>
      <c r="I92" s="62"/>
    </row>
    <row r="93" spans="1:9" s="4" customFormat="1" ht="32.25" customHeight="1">
      <c r="A93" s="618" t="s">
        <v>361</v>
      </c>
      <c r="B93" s="431"/>
      <c r="C93" s="431"/>
      <c r="D93" s="431"/>
      <c r="E93" s="431"/>
      <c r="F93" s="431"/>
      <c r="G93" s="431"/>
      <c r="H93" s="431"/>
      <c r="I93" s="340"/>
    </row>
    <row r="94" spans="1:9" s="4" customFormat="1" ht="30" customHeight="1">
      <c r="A94" s="76" t="s">
        <v>279</v>
      </c>
      <c r="B94" s="528" t="s">
        <v>362</v>
      </c>
      <c r="C94" s="529"/>
      <c r="D94" s="529"/>
      <c r="E94" s="529"/>
      <c r="F94" s="529"/>
      <c r="G94" s="626"/>
      <c r="H94" s="53" t="s">
        <v>363</v>
      </c>
      <c r="I94" s="53" t="s">
        <v>364</v>
      </c>
    </row>
    <row r="95" spans="1:9" s="4" customFormat="1" ht="15.75" customHeight="1">
      <c r="A95" s="83" t="s">
        <v>259</v>
      </c>
      <c r="B95" s="545" t="s">
        <v>128</v>
      </c>
      <c r="C95" s="546"/>
      <c r="D95" s="546"/>
      <c r="E95" s="546"/>
      <c r="F95" s="546"/>
      <c r="G95" s="547"/>
      <c r="H95" s="92">
        <v>0.2</v>
      </c>
      <c r="I95" s="51">
        <f>ROUND($I$66*H95,2)</f>
        <v>180.96</v>
      </c>
    </row>
    <row r="96" spans="1:9" s="4" customFormat="1" ht="15.75" customHeight="1">
      <c r="A96" s="83" t="s">
        <v>261</v>
      </c>
      <c r="B96" s="545" t="s">
        <v>129</v>
      </c>
      <c r="C96" s="546"/>
      <c r="D96" s="546"/>
      <c r="E96" s="546"/>
      <c r="F96" s="546"/>
      <c r="G96" s="547"/>
      <c r="H96" s="85" t="s">
        <v>227</v>
      </c>
      <c r="I96" s="73" t="s">
        <v>227</v>
      </c>
    </row>
    <row r="97" spans="1:9" s="4" customFormat="1" ht="15.75" customHeight="1">
      <c r="A97" s="83" t="s">
        <v>263</v>
      </c>
      <c r="B97" s="545" t="s">
        <v>130</v>
      </c>
      <c r="C97" s="546"/>
      <c r="D97" s="546"/>
      <c r="E97" s="546"/>
      <c r="F97" s="546"/>
      <c r="G97" s="547"/>
      <c r="H97" s="85" t="s">
        <v>227</v>
      </c>
      <c r="I97" s="73" t="s">
        <v>227</v>
      </c>
    </row>
    <row r="98" spans="1:9" s="4" customFormat="1" ht="15.75" customHeight="1">
      <c r="A98" s="83" t="s">
        <v>264</v>
      </c>
      <c r="B98" s="545" t="s">
        <v>131</v>
      </c>
      <c r="C98" s="546"/>
      <c r="D98" s="546"/>
      <c r="E98" s="546"/>
      <c r="F98" s="546"/>
      <c r="G98" s="547"/>
      <c r="H98" s="85" t="s">
        <v>227</v>
      </c>
      <c r="I98" s="73" t="s">
        <v>227</v>
      </c>
    </row>
    <row r="99" spans="1:9" ht="15.75" customHeight="1">
      <c r="A99" s="83" t="s">
        <v>272</v>
      </c>
      <c r="B99" s="532" t="s">
        <v>301</v>
      </c>
      <c r="C99" s="533"/>
      <c r="D99" s="533"/>
      <c r="E99" s="533"/>
      <c r="F99" s="533"/>
      <c r="G99" s="629"/>
      <c r="H99" s="85" t="s">
        <v>227</v>
      </c>
      <c r="I99" s="73" t="s">
        <v>227</v>
      </c>
    </row>
    <row r="100" spans="1:9" ht="15.75" customHeight="1">
      <c r="A100" s="83" t="s">
        <v>273</v>
      </c>
      <c r="B100" s="532" t="s">
        <v>132</v>
      </c>
      <c r="C100" s="533"/>
      <c r="D100" s="533"/>
      <c r="E100" s="533"/>
      <c r="F100" s="533"/>
      <c r="G100" s="629"/>
      <c r="H100" s="57">
        <v>0.08</v>
      </c>
      <c r="I100" s="51">
        <f>ROUND($I$66*H100,2)</f>
        <v>72.38</v>
      </c>
    </row>
    <row r="101" spans="1:9" ht="55.5" customHeight="1">
      <c r="A101" s="83" t="s">
        <v>274</v>
      </c>
      <c r="B101" s="507" t="s">
        <v>343</v>
      </c>
      <c r="C101" s="727"/>
      <c r="D101" s="111" t="s">
        <v>342</v>
      </c>
      <c r="E101" s="112">
        <v>0.03</v>
      </c>
      <c r="F101" s="111" t="s">
        <v>344</v>
      </c>
      <c r="G101" s="113">
        <v>1</v>
      </c>
      <c r="H101" s="109">
        <f>ROUND((E101*G101),6)</f>
        <v>0.03</v>
      </c>
      <c r="I101" s="51">
        <f>ROUND($I$66*H101,2)</f>
        <v>27.14</v>
      </c>
    </row>
    <row r="102" spans="1:9" ht="15.75" customHeight="1">
      <c r="A102" s="83" t="s">
        <v>275</v>
      </c>
      <c r="B102" s="532" t="s">
        <v>133</v>
      </c>
      <c r="C102" s="533"/>
      <c r="D102" s="533"/>
      <c r="E102" s="533"/>
      <c r="F102" s="533"/>
      <c r="G102" s="629"/>
      <c r="H102" s="72" t="s">
        <v>227</v>
      </c>
      <c r="I102" s="73" t="s">
        <v>227</v>
      </c>
    </row>
    <row r="103" spans="1:9" ht="15.75" customHeight="1">
      <c r="A103" s="525" t="s">
        <v>134</v>
      </c>
      <c r="B103" s="536"/>
      <c r="C103" s="536"/>
      <c r="D103" s="536"/>
      <c r="E103" s="536"/>
      <c r="F103" s="536"/>
      <c r="G103" s="537"/>
      <c r="H103" s="110">
        <f>SUM(H95:H102)</f>
        <v>0.31000000000000005</v>
      </c>
      <c r="I103" s="55">
        <f>SUM(I95:I102)</f>
        <v>280.48</v>
      </c>
    </row>
    <row r="104" spans="1:9" ht="8.25" customHeight="1">
      <c r="A104" s="64"/>
      <c r="B104" s="65"/>
      <c r="C104" s="65"/>
      <c r="D104" s="65"/>
      <c r="E104" s="65"/>
      <c r="F104" s="65"/>
      <c r="G104" s="65"/>
      <c r="H104" s="66"/>
      <c r="I104" s="67"/>
    </row>
    <row r="105" spans="1:9" ht="38.25" customHeight="1">
      <c r="A105" s="644" t="s">
        <v>387</v>
      </c>
      <c r="B105" s="645"/>
      <c r="C105" s="645"/>
      <c r="D105" s="645"/>
      <c r="E105" s="645"/>
      <c r="F105" s="645"/>
      <c r="G105" s="645"/>
      <c r="H105" s="645"/>
      <c r="I105" s="646"/>
    </row>
    <row r="106" spans="1:9" ht="7.5" customHeight="1">
      <c r="A106" s="647"/>
      <c r="B106" s="642"/>
      <c r="C106" s="642"/>
      <c r="D106" s="642"/>
      <c r="E106" s="642"/>
      <c r="F106" s="642"/>
      <c r="G106" s="642"/>
      <c r="H106" s="642"/>
      <c r="I106" s="643"/>
    </row>
    <row r="107" spans="1:9" ht="18" customHeight="1">
      <c r="A107" s="539" t="s">
        <v>365</v>
      </c>
      <c r="B107" s="639"/>
      <c r="C107" s="639"/>
      <c r="D107" s="639"/>
      <c r="E107" s="639"/>
      <c r="F107" s="639"/>
      <c r="G107" s="639"/>
      <c r="H107" s="639"/>
      <c r="I107" s="640"/>
    </row>
    <row r="108" spans="1:9" ht="15.75" customHeight="1">
      <c r="A108" s="75" t="s">
        <v>280</v>
      </c>
      <c r="B108" s="528" t="s">
        <v>367</v>
      </c>
      <c r="C108" s="529"/>
      <c r="D108" s="529"/>
      <c r="E108" s="529"/>
      <c r="F108" s="529"/>
      <c r="G108" s="529"/>
      <c r="H108" s="636"/>
      <c r="I108" s="75" t="s">
        <v>127</v>
      </c>
    </row>
    <row r="109" spans="1:9" ht="15.75" customHeight="1">
      <c r="A109" s="52" t="s">
        <v>259</v>
      </c>
      <c r="B109" s="545" t="s">
        <v>366</v>
      </c>
      <c r="C109" s="546"/>
      <c r="D109" s="546"/>
      <c r="E109" s="546"/>
      <c r="F109" s="546"/>
      <c r="G109" s="546"/>
      <c r="H109" s="629"/>
      <c r="I109" s="51">
        <f>ROUND($I$66/12,2)</f>
        <v>75.400000000000006</v>
      </c>
    </row>
    <row r="110" spans="1:9" ht="15.75" customHeight="1">
      <c r="A110" s="525" t="s">
        <v>281</v>
      </c>
      <c r="B110" s="526"/>
      <c r="C110" s="526"/>
      <c r="D110" s="526"/>
      <c r="E110" s="526"/>
      <c r="F110" s="526"/>
      <c r="G110" s="526"/>
      <c r="H110" s="511"/>
      <c r="I110" s="108">
        <f>SUM(I109:I109)</f>
        <v>75.400000000000006</v>
      </c>
    </row>
    <row r="111" spans="1:9" ht="21" customHeight="1">
      <c r="A111" s="52" t="s">
        <v>261</v>
      </c>
      <c r="B111" s="633" t="s">
        <v>429</v>
      </c>
      <c r="C111" s="634"/>
      <c r="D111" s="634"/>
      <c r="E111" s="634"/>
      <c r="F111" s="634"/>
      <c r="G111" s="634"/>
      <c r="H111" s="635"/>
      <c r="I111" s="93">
        <f>ROUND(H103*I110,2)</f>
        <v>23.37</v>
      </c>
    </row>
    <row r="112" spans="1:9" ht="15.75" customHeight="1">
      <c r="A112" s="548" t="s">
        <v>134</v>
      </c>
      <c r="B112" s="549"/>
      <c r="C112" s="549"/>
      <c r="D112" s="549"/>
      <c r="E112" s="549"/>
      <c r="F112" s="549"/>
      <c r="G112" s="549"/>
      <c r="H112" s="649"/>
      <c r="I112" s="56">
        <f>SUM(I110:I111)</f>
        <v>98.77000000000001</v>
      </c>
    </row>
    <row r="113" spans="1:11" ht="10.5" customHeight="1">
      <c r="A113" s="659"/>
      <c r="B113" s="691"/>
      <c r="C113" s="691"/>
      <c r="D113" s="691"/>
      <c r="E113" s="691"/>
      <c r="F113" s="691"/>
      <c r="G113" s="691"/>
      <c r="H113" s="691"/>
      <c r="I113" s="692"/>
    </row>
    <row r="114" spans="1:11" ht="24.75" customHeight="1">
      <c r="A114" s="539" t="s">
        <v>368</v>
      </c>
      <c r="B114" s="540"/>
      <c r="C114" s="540"/>
      <c r="D114" s="540"/>
      <c r="E114" s="540"/>
      <c r="F114" s="540"/>
      <c r="G114" s="540"/>
      <c r="H114" s="540"/>
      <c r="I114" s="541"/>
      <c r="K114" s="1">
        <f>1/12</f>
        <v>8.3333333333333329E-2</v>
      </c>
    </row>
    <row r="115" spans="1:11" ht="15.75" customHeight="1">
      <c r="A115" s="75" t="s">
        <v>282</v>
      </c>
      <c r="B115" s="542" t="s">
        <v>287</v>
      </c>
      <c r="C115" s="543"/>
      <c r="D115" s="543"/>
      <c r="E115" s="543"/>
      <c r="F115" s="543"/>
      <c r="G115" s="543"/>
      <c r="H115" s="544"/>
      <c r="I115" s="75" t="s">
        <v>127</v>
      </c>
    </row>
    <row r="116" spans="1:11" ht="15.75" customHeight="1">
      <c r="A116" s="52" t="s">
        <v>259</v>
      </c>
      <c r="B116" s="532" t="s">
        <v>337</v>
      </c>
      <c r="C116" s="533"/>
      <c r="D116" s="533"/>
      <c r="E116" s="533"/>
      <c r="F116" s="533"/>
      <c r="G116" s="533"/>
      <c r="H116" s="629"/>
      <c r="I116" s="51">
        <f>ROUND(((($I$66+$I$66/3)*4/12)/12)*0.02,2)</f>
        <v>0.67</v>
      </c>
    </row>
    <row r="117" spans="1:11" ht="15.75" customHeight="1">
      <c r="A117" s="52" t="s">
        <v>261</v>
      </c>
      <c r="B117" s="532" t="s">
        <v>424</v>
      </c>
      <c r="C117" s="533"/>
      <c r="D117" s="533"/>
      <c r="E117" s="533"/>
      <c r="F117" s="533"/>
      <c r="G117" s="533"/>
      <c r="H117" s="629"/>
      <c r="I117" s="51">
        <f>ROUND(H103*I116,2)</f>
        <v>0.21</v>
      </c>
    </row>
    <row r="118" spans="1:11" ht="15.75" customHeight="1">
      <c r="A118" s="525" t="s">
        <v>134</v>
      </c>
      <c r="B118" s="650"/>
      <c r="C118" s="650"/>
      <c r="D118" s="650"/>
      <c r="E118" s="650"/>
      <c r="F118" s="650"/>
      <c r="G118" s="650"/>
      <c r="H118" s="388"/>
      <c r="I118" s="55">
        <f>SUM(I116:I117)</f>
        <v>0.88</v>
      </c>
    </row>
    <row r="119" spans="1:11" s="4" customFormat="1" ht="26.25" customHeight="1">
      <c r="A119" s="630" t="s">
        <v>369</v>
      </c>
      <c r="B119" s="631"/>
      <c r="C119" s="631"/>
      <c r="D119" s="631"/>
      <c r="E119" s="631"/>
      <c r="F119" s="631"/>
      <c r="G119" s="631"/>
      <c r="H119" s="631"/>
      <c r="I119" s="632"/>
    </row>
    <row r="120" spans="1:11" s="4" customFormat="1" ht="15.75" customHeight="1">
      <c r="A120" s="75" t="s">
        <v>283</v>
      </c>
      <c r="B120" s="542" t="s">
        <v>370</v>
      </c>
      <c r="C120" s="543"/>
      <c r="D120" s="543"/>
      <c r="E120" s="543"/>
      <c r="F120" s="543"/>
      <c r="G120" s="543"/>
      <c r="H120" s="544"/>
      <c r="I120" s="75" t="s">
        <v>127</v>
      </c>
    </row>
    <row r="121" spans="1:11" s="4" customFormat="1" ht="43.5" customHeight="1">
      <c r="A121" s="52" t="s">
        <v>259</v>
      </c>
      <c r="B121" s="545" t="s">
        <v>38</v>
      </c>
      <c r="C121" s="546"/>
      <c r="D121" s="546"/>
      <c r="E121" s="546"/>
      <c r="F121" s="546"/>
      <c r="G121" s="546"/>
      <c r="H121" s="547"/>
      <c r="I121" s="51">
        <f>ROUND((($I$66/12)+($I$109/12)+($I$130/12))*(30/30)*0.05,2)</f>
        <v>4.5</v>
      </c>
    </row>
    <row r="122" spans="1:11" s="4" customFormat="1" ht="15.75" customHeight="1">
      <c r="A122" s="52" t="s">
        <v>261</v>
      </c>
      <c r="B122" s="538" t="s">
        <v>371</v>
      </c>
      <c r="C122" s="538"/>
      <c r="D122" s="538"/>
      <c r="E122" s="538"/>
      <c r="F122" s="538"/>
      <c r="G122" s="538"/>
      <c r="H122" s="538"/>
      <c r="I122" s="51">
        <f>ROUND($H$100*I121,2)</f>
        <v>0.36</v>
      </c>
    </row>
    <row r="123" spans="1:11" s="4" customFormat="1" ht="24.75" customHeight="1">
      <c r="A123" s="52" t="s">
        <v>263</v>
      </c>
      <c r="B123" s="545" t="s">
        <v>456</v>
      </c>
      <c r="C123" s="546"/>
      <c r="D123" s="546"/>
      <c r="E123" s="546"/>
      <c r="F123" s="546"/>
      <c r="G123" s="546"/>
      <c r="H123" s="547"/>
      <c r="I123" s="51">
        <f>ROUND(0.08*0.5*($I$66+$I$109+$I$130)*0.05,2)</f>
        <v>2.16</v>
      </c>
    </row>
    <row r="124" spans="1:11" s="4" customFormat="1" ht="29.25" customHeight="1">
      <c r="A124" s="52" t="s">
        <v>264</v>
      </c>
      <c r="B124" s="648" t="s">
        <v>27</v>
      </c>
      <c r="C124" s="538"/>
      <c r="D124" s="538"/>
      <c r="E124" s="538"/>
      <c r="F124" s="538"/>
      <c r="G124" s="538"/>
      <c r="H124" s="538"/>
      <c r="I124" s="51">
        <f>ROUND(((($I$66/30)*7)/$H$11)*0.9,2)</f>
        <v>15.83</v>
      </c>
    </row>
    <row r="125" spans="1:11" s="4" customFormat="1" ht="15.75" customHeight="1">
      <c r="A125" s="52" t="s">
        <v>272</v>
      </c>
      <c r="B125" s="538" t="s">
        <v>423</v>
      </c>
      <c r="C125" s="538"/>
      <c r="D125" s="538"/>
      <c r="E125" s="538"/>
      <c r="F125" s="538"/>
      <c r="G125" s="538"/>
      <c r="H125" s="538"/>
      <c r="I125" s="51">
        <f>ROUND($H$103*I124,2)</f>
        <v>4.91</v>
      </c>
    </row>
    <row r="126" spans="1:11" s="4" customFormat="1" ht="24.75" customHeight="1">
      <c r="A126" s="52" t="s">
        <v>273</v>
      </c>
      <c r="B126" s="545" t="s">
        <v>457</v>
      </c>
      <c r="C126" s="546"/>
      <c r="D126" s="546"/>
      <c r="E126" s="546"/>
      <c r="F126" s="546"/>
      <c r="G126" s="546"/>
      <c r="H126" s="547"/>
      <c r="I126" s="51">
        <f>ROUND(0.08*0.5*($I$66+$I$109+$I$130)*0.9,2)</f>
        <v>38.909999999999997</v>
      </c>
    </row>
    <row r="127" spans="1:11" s="4" customFormat="1" ht="15.75" customHeight="1">
      <c r="A127" s="548" t="s">
        <v>134</v>
      </c>
      <c r="B127" s="549"/>
      <c r="C127" s="549"/>
      <c r="D127" s="549"/>
      <c r="E127" s="549"/>
      <c r="F127" s="549"/>
      <c r="G127" s="549"/>
      <c r="H127" s="549"/>
      <c r="I127" s="55">
        <f>SUM(I121:I126)</f>
        <v>66.67</v>
      </c>
    </row>
    <row r="128" spans="1:11" ht="24" customHeight="1">
      <c r="A128" s="539" t="s">
        <v>349</v>
      </c>
      <c r="B128" s="540"/>
      <c r="C128" s="540"/>
      <c r="D128" s="540"/>
      <c r="E128" s="540"/>
      <c r="F128" s="540"/>
      <c r="G128" s="540"/>
      <c r="H128" s="540"/>
      <c r="I128" s="541"/>
    </row>
    <row r="129" spans="1:11" ht="15.75" customHeight="1">
      <c r="A129" s="77" t="s">
        <v>284</v>
      </c>
      <c r="B129" s="542" t="s">
        <v>350</v>
      </c>
      <c r="C129" s="543"/>
      <c r="D129" s="543"/>
      <c r="E129" s="543"/>
      <c r="F129" s="543"/>
      <c r="G129" s="543"/>
      <c r="H129" s="544"/>
      <c r="I129" s="77" t="s">
        <v>127</v>
      </c>
    </row>
    <row r="130" spans="1:11" ht="15.75" customHeight="1">
      <c r="A130" s="94" t="s">
        <v>259</v>
      </c>
      <c r="B130" s="538" t="s">
        <v>351</v>
      </c>
      <c r="C130" s="538"/>
      <c r="D130" s="538"/>
      <c r="E130" s="538"/>
      <c r="F130" s="538"/>
      <c r="G130" s="538"/>
      <c r="H130" s="538"/>
      <c r="I130" s="51">
        <f>ROUND($I$66/12,2)+ROUND(($I$66/3)/12,2)</f>
        <v>100.53</v>
      </c>
    </row>
    <row r="131" spans="1:11" ht="15.75" customHeight="1">
      <c r="A131" s="94" t="s">
        <v>261</v>
      </c>
      <c r="B131" s="538" t="s">
        <v>348</v>
      </c>
      <c r="C131" s="538"/>
      <c r="D131" s="538"/>
      <c r="E131" s="538"/>
      <c r="F131" s="538"/>
      <c r="G131" s="538"/>
      <c r="H131" s="538"/>
      <c r="I131" s="95">
        <f>ROUND(((($I$66/30)*5)/12),2)</f>
        <v>12.57</v>
      </c>
    </row>
    <row r="132" spans="1:11" ht="15.75" customHeight="1">
      <c r="A132" s="94" t="s">
        <v>263</v>
      </c>
      <c r="B132" s="538" t="s">
        <v>346</v>
      </c>
      <c r="C132" s="538"/>
      <c r="D132" s="538"/>
      <c r="E132" s="538"/>
      <c r="F132" s="538"/>
      <c r="G132" s="538"/>
      <c r="H132" s="538"/>
      <c r="I132" s="95">
        <f>ROUND((($I$66/30)*5)/12*0.015,2)</f>
        <v>0.19</v>
      </c>
    </row>
    <row r="133" spans="1:11" ht="15.75" customHeight="1">
      <c r="A133" s="94" t="s">
        <v>264</v>
      </c>
      <c r="B133" s="538" t="s">
        <v>345</v>
      </c>
      <c r="C133" s="538"/>
      <c r="D133" s="538"/>
      <c r="E133" s="538"/>
      <c r="F133" s="538"/>
      <c r="G133" s="538"/>
      <c r="H133" s="538"/>
      <c r="I133" s="95">
        <f>ROUND((($I$66/30)*2.96)/12,2)</f>
        <v>7.44</v>
      </c>
    </row>
    <row r="134" spans="1:11" ht="15.75" customHeight="1">
      <c r="A134" s="94" t="s">
        <v>272</v>
      </c>
      <c r="B134" s="538" t="s">
        <v>112</v>
      </c>
      <c r="C134" s="538"/>
      <c r="D134" s="538"/>
      <c r="E134" s="538"/>
      <c r="F134" s="538"/>
      <c r="G134" s="538"/>
      <c r="H134" s="538"/>
      <c r="I134" s="96">
        <f>ROUND(((($I$66/30)*15)/12)*0.0078,2)</f>
        <v>0.28999999999999998</v>
      </c>
    </row>
    <row r="135" spans="1:11" ht="15.75" customHeight="1">
      <c r="A135" s="94" t="s">
        <v>273</v>
      </c>
      <c r="B135" s="538" t="s">
        <v>126</v>
      </c>
      <c r="C135" s="538"/>
      <c r="D135" s="538"/>
      <c r="E135" s="538"/>
      <c r="F135" s="538"/>
      <c r="G135" s="538"/>
      <c r="H135" s="538"/>
      <c r="I135" s="96">
        <v>0</v>
      </c>
    </row>
    <row r="136" spans="1:11" ht="15.75" customHeight="1">
      <c r="A136" s="548" t="s">
        <v>281</v>
      </c>
      <c r="B136" s="548"/>
      <c r="C136" s="548"/>
      <c r="D136" s="548"/>
      <c r="E136" s="548"/>
      <c r="F136" s="548"/>
      <c r="G136" s="548"/>
      <c r="H136" s="548"/>
      <c r="I136" s="58">
        <f>SUM(I130:I135)</f>
        <v>121.02</v>
      </c>
    </row>
    <row r="137" spans="1:11" ht="18" customHeight="1">
      <c r="A137" s="94" t="s">
        <v>274</v>
      </c>
      <c r="B137" s="519" t="s">
        <v>425</v>
      </c>
      <c r="C137" s="520"/>
      <c r="D137" s="520"/>
      <c r="E137" s="520"/>
      <c r="F137" s="520"/>
      <c r="G137" s="520"/>
      <c r="H137" s="742"/>
      <c r="I137" s="96">
        <f>ROUND(H103*I136,2)</f>
        <v>37.520000000000003</v>
      </c>
    </row>
    <row r="138" spans="1:11" ht="15.75" customHeight="1">
      <c r="A138" s="548" t="s">
        <v>134</v>
      </c>
      <c r="B138" s="548"/>
      <c r="C138" s="548"/>
      <c r="D138" s="548"/>
      <c r="E138" s="548"/>
      <c r="F138" s="548"/>
      <c r="G138" s="548"/>
      <c r="H138" s="548"/>
      <c r="I138" s="55">
        <f>SUM(I136:I137)</f>
        <v>158.54</v>
      </c>
    </row>
    <row r="139" spans="1:11" ht="28.5" customHeight="1">
      <c r="A139" s="630" t="s">
        <v>373</v>
      </c>
      <c r="B139" s="631"/>
      <c r="C139" s="631"/>
      <c r="D139" s="631"/>
      <c r="E139" s="631"/>
      <c r="F139" s="631"/>
      <c r="G139" s="631"/>
      <c r="H139" s="631"/>
      <c r="I139" s="632"/>
    </row>
    <row r="140" spans="1:11" ht="15.75" customHeight="1">
      <c r="A140" s="75">
        <v>4</v>
      </c>
      <c r="B140" s="528" t="s">
        <v>372</v>
      </c>
      <c r="C140" s="529"/>
      <c r="D140" s="529"/>
      <c r="E140" s="529"/>
      <c r="F140" s="529"/>
      <c r="G140" s="529"/>
      <c r="H140" s="626"/>
      <c r="I140" s="75" t="s">
        <v>127</v>
      </c>
    </row>
    <row r="141" spans="1:11" ht="15.75" customHeight="1">
      <c r="A141" s="52" t="s">
        <v>279</v>
      </c>
      <c r="B141" s="507" t="s">
        <v>362</v>
      </c>
      <c r="C141" s="507"/>
      <c r="D141" s="507"/>
      <c r="E141" s="507"/>
      <c r="F141" s="507"/>
      <c r="G141" s="507"/>
      <c r="H141" s="507"/>
      <c r="I141" s="88">
        <f>I103</f>
        <v>280.48</v>
      </c>
    </row>
    <row r="142" spans="1:11" ht="15.75" customHeight="1">
      <c r="A142" s="52" t="s">
        <v>280</v>
      </c>
      <c r="B142" s="507" t="s">
        <v>367</v>
      </c>
      <c r="C142" s="507"/>
      <c r="D142" s="507"/>
      <c r="E142" s="507"/>
      <c r="F142" s="507"/>
      <c r="G142" s="507"/>
      <c r="H142" s="507"/>
      <c r="I142" s="88">
        <f>I112</f>
        <v>98.77000000000001</v>
      </c>
    </row>
    <row r="143" spans="1:11" ht="15.75" customHeight="1">
      <c r="A143" s="52" t="s">
        <v>282</v>
      </c>
      <c r="B143" s="507" t="s">
        <v>287</v>
      </c>
      <c r="C143" s="507"/>
      <c r="D143" s="507"/>
      <c r="E143" s="507"/>
      <c r="F143" s="507"/>
      <c r="G143" s="507"/>
      <c r="H143" s="507"/>
      <c r="I143" s="88">
        <f>I118</f>
        <v>0.88</v>
      </c>
    </row>
    <row r="144" spans="1:11" ht="15.75" customHeight="1">
      <c r="A144" s="52" t="s">
        <v>283</v>
      </c>
      <c r="B144" s="507" t="s">
        <v>288</v>
      </c>
      <c r="C144" s="507"/>
      <c r="D144" s="507"/>
      <c r="E144" s="507"/>
      <c r="F144" s="507"/>
      <c r="G144" s="507"/>
      <c r="H144" s="507"/>
      <c r="I144" s="88">
        <f>I127</f>
        <v>66.67</v>
      </c>
      <c r="K144" s="47"/>
    </row>
    <row r="145" spans="1:9" ht="15.75" customHeight="1">
      <c r="A145" s="52" t="s">
        <v>284</v>
      </c>
      <c r="B145" s="507" t="s">
        <v>289</v>
      </c>
      <c r="C145" s="507"/>
      <c r="D145" s="507"/>
      <c r="E145" s="507"/>
      <c r="F145" s="507"/>
      <c r="G145" s="507"/>
      <c r="H145" s="507"/>
      <c r="I145" s="88">
        <f>I138</f>
        <v>158.54</v>
      </c>
    </row>
    <row r="146" spans="1:9" ht="15.75" customHeight="1">
      <c r="A146" s="52" t="s">
        <v>286</v>
      </c>
      <c r="B146" s="507" t="s">
        <v>126</v>
      </c>
      <c r="C146" s="507"/>
      <c r="D146" s="507"/>
      <c r="E146" s="507"/>
      <c r="F146" s="507"/>
      <c r="G146" s="507"/>
      <c r="H146" s="507"/>
      <c r="I146" s="88">
        <v>0</v>
      </c>
    </row>
    <row r="147" spans="1:9" ht="15.75" customHeight="1">
      <c r="A147" s="525" t="s">
        <v>134</v>
      </c>
      <c r="B147" s="536"/>
      <c r="C147" s="536"/>
      <c r="D147" s="536"/>
      <c r="E147" s="536"/>
      <c r="F147" s="536"/>
      <c r="G147" s="536"/>
      <c r="H147" s="537"/>
      <c r="I147" s="55">
        <f>SUM(I141:I146)</f>
        <v>605.34</v>
      </c>
    </row>
    <row r="148" spans="1:9" s="4" customFormat="1" ht="29.25" customHeight="1">
      <c r="A148" s="707" t="s">
        <v>333</v>
      </c>
      <c r="B148" s="708"/>
      <c r="C148" s="708"/>
      <c r="D148" s="708"/>
      <c r="E148" s="708"/>
      <c r="F148" s="708"/>
      <c r="G148" s="708"/>
      <c r="H148" s="708"/>
      <c r="I148" s="708"/>
    </row>
    <row r="149" spans="1:9" ht="32.25" customHeight="1">
      <c r="A149" s="75">
        <v>5</v>
      </c>
      <c r="B149" s="542" t="s">
        <v>374</v>
      </c>
      <c r="C149" s="543"/>
      <c r="D149" s="543"/>
      <c r="E149" s="543"/>
      <c r="F149" s="543"/>
      <c r="G149" s="544"/>
      <c r="H149" s="53" t="s">
        <v>363</v>
      </c>
      <c r="I149" s="116" t="s">
        <v>388</v>
      </c>
    </row>
    <row r="150" spans="1:9" ht="40.5" customHeight="1">
      <c r="A150" s="728" t="s">
        <v>317</v>
      </c>
      <c r="B150" s="729"/>
      <c r="C150" s="729"/>
      <c r="D150" s="729"/>
      <c r="E150" s="729"/>
      <c r="F150" s="729"/>
      <c r="G150" s="730"/>
      <c r="H150" s="69" t="s">
        <v>227</v>
      </c>
      <c r="I150" s="97">
        <f>SUM(I66+I79+I89+I147)</f>
        <v>2118.4299999999998</v>
      </c>
    </row>
    <row r="151" spans="1:9" ht="15.75" customHeight="1">
      <c r="A151" s="115" t="s">
        <v>259</v>
      </c>
      <c r="B151" s="709" t="s">
        <v>375</v>
      </c>
      <c r="C151" s="709"/>
      <c r="D151" s="709"/>
      <c r="E151" s="709"/>
      <c r="F151" s="709"/>
      <c r="G151" s="709"/>
      <c r="H151" s="57">
        <v>0.03</v>
      </c>
      <c r="I151" s="51">
        <f>ROUND(H151*I150,2)</f>
        <v>63.55</v>
      </c>
    </row>
    <row r="152" spans="1:9" ht="37.5" customHeight="1">
      <c r="A152" s="728" t="s">
        <v>318</v>
      </c>
      <c r="B152" s="731"/>
      <c r="C152" s="731"/>
      <c r="D152" s="731"/>
      <c r="E152" s="731"/>
      <c r="F152" s="731"/>
      <c r="G152" s="732"/>
      <c r="H152" s="70" t="s">
        <v>227</v>
      </c>
      <c r="I152" s="97">
        <f>SUM(I66+I79+I89+I147+I151)</f>
        <v>2181.98</v>
      </c>
    </row>
    <row r="153" spans="1:9" ht="15.75" customHeight="1">
      <c r="A153" s="115" t="s">
        <v>261</v>
      </c>
      <c r="B153" s="709" t="s">
        <v>290</v>
      </c>
      <c r="C153" s="709"/>
      <c r="D153" s="709"/>
      <c r="E153" s="709"/>
      <c r="F153" s="709"/>
      <c r="G153" s="709"/>
      <c r="H153" s="57">
        <v>6.7900000000000002E-2</v>
      </c>
      <c r="I153" s="51">
        <f>ROUND(H153*I152,2)</f>
        <v>148.16</v>
      </c>
    </row>
    <row r="154" spans="1:9" ht="45" customHeight="1">
      <c r="A154" s="728" t="s">
        <v>336</v>
      </c>
      <c r="B154" s="731"/>
      <c r="C154" s="731"/>
      <c r="D154" s="731"/>
      <c r="E154" s="731"/>
      <c r="F154" s="731"/>
      <c r="G154" s="732"/>
      <c r="H154" s="70" t="s">
        <v>227</v>
      </c>
      <c r="I154" s="97">
        <f>SUM(I66+I79+I89+I147+I151+I153)</f>
        <v>2330.14</v>
      </c>
    </row>
    <row r="155" spans="1:9" ht="15.75" customHeight="1">
      <c r="A155" s="52" t="s">
        <v>263</v>
      </c>
      <c r="B155" s="738" t="s">
        <v>291</v>
      </c>
      <c r="C155" s="738"/>
      <c r="D155" s="738"/>
      <c r="E155" s="738"/>
      <c r="F155" s="738"/>
      <c r="G155" s="738"/>
      <c r="H155" s="72" t="s">
        <v>227</v>
      </c>
      <c r="I155" s="73" t="s">
        <v>227</v>
      </c>
    </row>
    <row r="156" spans="1:9" ht="15.75" customHeight="1">
      <c r="A156" s="52"/>
      <c r="B156" s="738" t="s">
        <v>376</v>
      </c>
      <c r="C156" s="738"/>
      <c r="D156" s="738"/>
      <c r="E156" s="738"/>
      <c r="F156" s="738"/>
      <c r="G156" s="738"/>
      <c r="H156" s="72" t="s">
        <v>227</v>
      </c>
      <c r="I156" s="73" t="s">
        <v>227</v>
      </c>
    </row>
    <row r="157" spans="1:9" ht="27.75" customHeight="1">
      <c r="A157" s="52"/>
      <c r="B157" s="733" t="s">
        <v>86</v>
      </c>
      <c r="C157" s="734"/>
      <c r="D157" s="734"/>
      <c r="E157" s="734"/>
      <c r="F157" s="734"/>
      <c r="G157" s="735"/>
      <c r="H157" s="48">
        <v>2.5899999999999999E-2</v>
      </c>
      <c r="I157" s="51">
        <f>ROUND(($I$154/(1-$H$165))*H157,2)</f>
        <v>65.7</v>
      </c>
    </row>
    <row r="158" spans="1:9" ht="27.75" customHeight="1">
      <c r="A158" s="52"/>
      <c r="B158" s="733" t="s">
        <v>87</v>
      </c>
      <c r="C158" s="734"/>
      <c r="D158" s="734"/>
      <c r="E158" s="734"/>
      <c r="F158" s="734"/>
      <c r="G158" s="735"/>
      <c r="H158" s="48">
        <v>5.4999999999999997E-3</v>
      </c>
      <c r="I158" s="51">
        <f>ROUND(($I$154/(1-$H$165))*H158,2)</f>
        <v>13.95</v>
      </c>
    </row>
    <row r="159" spans="1:9" ht="29.25" customHeight="1">
      <c r="A159" s="52"/>
      <c r="B159" s="728" t="s">
        <v>308</v>
      </c>
      <c r="C159" s="736"/>
      <c r="D159" s="736"/>
      <c r="E159" s="736"/>
      <c r="F159" s="736"/>
      <c r="G159" s="737"/>
      <c r="H159" s="71" t="s">
        <v>227</v>
      </c>
      <c r="I159" s="73" t="s">
        <v>227</v>
      </c>
    </row>
    <row r="160" spans="1:9" ht="18" customHeight="1">
      <c r="A160" s="52"/>
      <c r="B160" s="627" t="s">
        <v>380</v>
      </c>
      <c r="C160" s="628"/>
      <c r="D160" s="628"/>
      <c r="E160" s="628"/>
      <c r="F160" s="628"/>
      <c r="G160" s="628"/>
      <c r="H160" s="71" t="s">
        <v>227</v>
      </c>
      <c r="I160" s="73" t="s">
        <v>227</v>
      </c>
    </row>
    <row r="161" spans="1:11" ht="18" customHeight="1">
      <c r="A161" s="52"/>
      <c r="B161" s="545" t="s">
        <v>381</v>
      </c>
      <c r="C161" s="533"/>
      <c r="D161" s="533"/>
      <c r="E161" s="533"/>
      <c r="F161" s="533"/>
      <c r="G161" s="533"/>
      <c r="H161" s="71" t="s">
        <v>227</v>
      </c>
      <c r="I161" s="73" t="s">
        <v>227</v>
      </c>
    </row>
    <row r="162" spans="1:11" ht="39.75" customHeight="1">
      <c r="A162" s="52"/>
      <c r="B162" s="733" t="s">
        <v>88</v>
      </c>
      <c r="C162" s="734"/>
      <c r="D162" s="734"/>
      <c r="E162" s="734"/>
      <c r="F162" s="734"/>
      <c r="G162" s="735"/>
      <c r="H162" s="48">
        <v>0.05</v>
      </c>
      <c r="I162" s="51">
        <f>ROUND(($I$154/(1-$H$165))*H162,2)</f>
        <v>126.83</v>
      </c>
    </row>
    <row r="163" spans="1:11" ht="15.75" customHeight="1">
      <c r="A163" s="525" t="s">
        <v>134</v>
      </c>
      <c r="B163" s="536"/>
      <c r="C163" s="536"/>
      <c r="D163" s="536"/>
      <c r="E163" s="536"/>
      <c r="F163" s="536"/>
      <c r="G163" s="536"/>
      <c r="H163" s="537"/>
      <c r="I163" s="55">
        <f>SUM(I151+I153+I157+I158+I162)</f>
        <v>418.18999999999994</v>
      </c>
    </row>
    <row r="164" spans="1:11" ht="6.75" customHeight="1">
      <c r="A164" s="739"/>
      <c r="B164" s="740"/>
      <c r="C164" s="740"/>
      <c r="D164" s="740"/>
      <c r="E164" s="740"/>
      <c r="F164" s="740"/>
      <c r="G164" s="740"/>
      <c r="H164" s="740"/>
      <c r="I164" s="741"/>
    </row>
    <row r="165" spans="1:11" ht="15.75" customHeight="1">
      <c r="A165" s="705" t="s">
        <v>302</v>
      </c>
      <c r="B165" s="706"/>
      <c r="C165" s="706"/>
      <c r="D165" s="706"/>
      <c r="E165" s="706"/>
      <c r="F165" s="706"/>
      <c r="G165" s="706"/>
      <c r="H165" s="98">
        <f>SUM(H157:H162)</f>
        <v>8.14E-2</v>
      </c>
      <c r="I165" s="34">
        <f>SUM(I157:I162)</f>
        <v>206.48000000000002</v>
      </c>
    </row>
    <row r="166" spans="1:11" ht="12.75" customHeight="1">
      <c r="A166" s="695" t="s">
        <v>292</v>
      </c>
      <c r="B166" s="696"/>
      <c r="C166" s="703" t="s">
        <v>294</v>
      </c>
      <c r="D166" s="704"/>
      <c r="E166" s="704"/>
      <c r="F166" s="704"/>
      <c r="G166" s="704"/>
      <c r="H166" s="704"/>
      <c r="I166" s="704"/>
    </row>
    <row r="167" spans="1:11" ht="12" customHeight="1">
      <c r="A167" s="697"/>
      <c r="B167" s="698"/>
      <c r="C167" s="723" t="s">
        <v>293</v>
      </c>
      <c r="D167" s="724"/>
      <c r="E167" s="724"/>
      <c r="F167" s="724"/>
      <c r="G167" s="724"/>
      <c r="H167" s="724"/>
      <c r="I167" s="724"/>
    </row>
    <row r="168" spans="1:11" ht="13.5" customHeight="1">
      <c r="A168" s="699"/>
      <c r="B168" s="700"/>
      <c r="C168" s="725" t="s">
        <v>295</v>
      </c>
      <c r="D168" s="726"/>
      <c r="E168" s="726"/>
      <c r="F168" s="726"/>
      <c r="G168" s="726"/>
      <c r="H168" s="726"/>
      <c r="I168" s="726"/>
    </row>
    <row r="169" spans="1:11" ht="6.75" customHeight="1">
      <c r="A169" s="701"/>
      <c r="B169" s="702"/>
      <c r="C169" s="702"/>
      <c r="D169" s="702"/>
      <c r="E169" s="702"/>
      <c r="F169" s="702"/>
      <c r="G169" s="702"/>
      <c r="H169" s="702"/>
      <c r="I169" s="702"/>
    </row>
    <row r="170" spans="1:11" ht="32.25" customHeight="1">
      <c r="A170" s="545" t="s">
        <v>382</v>
      </c>
      <c r="B170" s="533"/>
      <c r="C170" s="533"/>
      <c r="D170" s="533"/>
      <c r="E170" s="533"/>
      <c r="F170" s="533"/>
      <c r="G170" s="533"/>
      <c r="H170" s="533"/>
      <c r="I170" s="629"/>
    </row>
    <row r="171" spans="1:11" ht="5.25" customHeight="1">
      <c r="A171" s="693"/>
      <c r="B171" s="694"/>
      <c r="C171" s="694"/>
      <c r="D171" s="694"/>
      <c r="E171" s="694"/>
      <c r="F171" s="694"/>
      <c r="G171" s="694"/>
      <c r="H171" s="694"/>
      <c r="I171" s="694"/>
    </row>
    <row r="172" spans="1:11" ht="45" customHeight="1">
      <c r="A172" s="748" t="s">
        <v>383</v>
      </c>
      <c r="B172" s="749"/>
      <c r="C172" s="749"/>
      <c r="D172" s="749"/>
      <c r="E172" s="749"/>
      <c r="F172" s="749"/>
      <c r="G172" s="749"/>
      <c r="H172" s="749"/>
      <c r="I172" s="750"/>
    </row>
    <row r="173" spans="1:11" ht="15" customHeight="1">
      <c r="A173" s="528" t="s">
        <v>114</v>
      </c>
      <c r="B173" s="746"/>
      <c r="C173" s="746"/>
      <c r="D173" s="746"/>
      <c r="E173" s="746"/>
      <c r="F173" s="746"/>
      <c r="G173" s="746"/>
      <c r="H173" s="747"/>
      <c r="I173" s="35" t="s">
        <v>127</v>
      </c>
    </row>
    <row r="174" spans="1:11" ht="15" customHeight="1">
      <c r="A174" s="99" t="s">
        <v>259</v>
      </c>
      <c r="B174" s="533" t="s">
        <v>384</v>
      </c>
      <c r="C174" s="533"/>
      <c r="D174" s="533"/>
      <c r="E174" s="533"/>
      <c r="F174" s="533"/>
      <c r="G174" s="533"/>
      <c r="H174" s="533"/>
      <c r="I174" s="90">
        <f>I66</f>
        <v>904.8</v>
      </c>
      <c r="K174" s="59"/>
    </row>
    <row r="175" spans="1:11" ht="15" customHeight="1">
      <c r="A175" s="99" t="s">
        <v>261</v>
      </c>
      <c r="B175" s="533" t="s">
        <v>101</v>
      </c>
      <c r="C175" s="533"/>
      <c r="D175" s="533"/>
      <c r="E175" s="533"/>
      <c r="F175" s="533"/>
      <c r="G175" s="533"/>
      <c r="H175" s="533"/>
      <c r="I175" s="90">
        <f>I79</f>
        <v>330.28999999999996</v>
      </c>
    </row>
    <row r="176" spans="1:11" ht="15" customHeight="1">
      <c r="A176" s="99" t="s">
        <v>263</v>
      </c>
      <c r="B176" s="533" t="s">
        <v>102</v>
      </c>
      <c r="C176" s="533"/>
      <c r="D176" s="533"/>
      <c r="E176" s="533"/>
      <c r="F176" s="533"/>
      <c r="G176" s="533"/>
      <c r="H176" s="533"/>
      <c r="I176" s="90">
        <f>I89</f>
        <v>278</v>
      </c>
    </row>
    <row r="177" spans="1:9" ht="15" customHeight="1">
      <c r="A177" s="99" t="s">
        <v>264</v>
      </c>
      <c r="B177" s="533" t="s">
        <v>372</v>
      </c>
      <c r="C177" s="533"/>
      <c r="D177" s="533"/>
      <c r="E177" s="533"/>
      <c r="F177" s="533"/>
      <c r="G177" s="533"/>
      <c r="H177" s="533"/>
      <c r="I177" s="90">
        <f>I147</f>
        <v>605.34</v>
      </c>
    </row>
    <row r="178" spans="1:9" ht="15" customHeight="1">
      <c r="A178" s="617" t="s">
        <v>115</v>
      </c>
      <c r="B178" s="387"/>
      <c r="C178" s="387"/>
      <c r="D178" s="387"/>
      <c r="E178" s="387"/>
      <c r="F178" s="387"/>
      <c r="G178" s="387"/>
      <c r="H178" s="387"/>
      <c r="I178" s="54">
        <f>SUM(I174:I177)</f>
        <v>2118.4299999999998</v>
      </c>
    </row>
    <row r="179" spans="1:9" ht="15" customHeight="1">
      <c r="A179" s="117" t="s">
        <v>272</v>
      </c>
      <c r="B179" s="533" t="s">
        <v>103</v>
      </c>
      <c r="C179" s="533"/>
      <c r="D179" s="533"/>
      <c r="E179" s="533"/>
      <c r="F179" s="533"/>
      <c r="G179" s="533"/>
      <c r="H179" s="533"/>
      <c r="I179" s="90">
        <f>I163</f>
        <v>418.18999999999994</v>
      </c>
    </row>
    <row r="180" spans="1:9" ht="15" customHeight="1">
      <c r="A180" s="617" t="s">
        <v>104</v>
      </c>
      <c r="B180" s="387"/>
      <c r="C180" s="387"/>
      <c r="D180" s="387"/>
      <c r="E180" s="387"/>
      <c r="F180" s="387"/>
      <c r="G180" s="387"/>
      <c r="H180" s="387"/>
      <c r="I180" s="54">
        <f>SUM(I178:I179)</f>
        <v>2536.62</v>
      </c>
    </row>
    <row r="181" spans="1:9" ht="30.75" customHeight="1">
      <c r="A181" s="755" t="s">
        <v>307</v>
      </c>
      <c r="B181" s="756"/>
      <c r="C181" s="756"/>
      <c r="D181" s="756"/>
      <c r="E181" s="756"/>
      <c r="F181" s="756"/>
      <c r="G181" s="756"/>
      <c r="H181" s="756"/>
      <c r="I181" s="757"/>
    </row>
    <row r="182" spans="1:9" ht="48.75" customHeight="1">
      <c r="A182" s="751" t="s">
        <v>105</v>
      </c>
      <c r="B182" s="752"/>
      <c r="C182" s="752"/>
      <c r="D182" s="752"/>
      <c r="E182" s="752"/>
      <c r="F182" s="752"/>
      <c r="G182" s="752"/>
      <c r="H182" s="752"/>
      <c r="I182" s="753"/>
    </row>
    <row r="183" spans="1:9" ht="63" customHeight="1">
      <c r="A183" s="758" t="s">
        <v>117</v>
      </c>
      <c r="B183" s="754"/>
      <c r="C183" s="754" t="s">
        <v>116</v>
      </c>
      <c r="D183" s="754"/>
      <c r="E183" s="104" t="s">
        <v>118</v>
      </c>
      <c r="F183" s="754" t="s">
        <v>119</v>
      </c>
      <c r="G183" s="754"/>
      <c r="H183" s="103" t="s">
        <v>120</v>
      </c>
      <c r="I183" s="103" t="s">
        <v>121</v>
      </c>
    </row>
    <row r="184" spans="1:9" ht="14.25" customHeight="1">
      <c r="A184" s="475" t="s">
        <v>122</v>
      </c>
      <c r="B184" s="535"/>
      <c r="C184" s="535" t="s">
        <v>305</v>
      </c>
      <c r="D184" s="535"/>
      <c r="E184" s="106"/>
      <c r="F184" s="535" t="s">
        <v>305</v>
      </c>
      <c r="G184" s="535"/>
      <c r="H184" s="107"/>
      <c r="I184" s="105" t="s">
        <v>305</v>
      </c>
    </row>
    <row r="185" spans="1:9" ht="15.75" customHeight="1">
      <c r="A185" s="475" t="s">
        <v>304</v>
      </c>
      <c r="B185" s="535"/>
      <c r="C185" s="535" t="s">
        <v>305</v>
      </c>
      <c r="D185" s="535"/>
      <c r="E185" s="106"/>
      <c r="F185" s="535" t="s">
        <v>305</v>
      </c>
      <c r="G185" s="535"/>
      <c r="H185" s="107"/>
      <c r="I185" s="105" t="s">
        <v>305</v>
      </c>
    </row>
    <row r="186" spans="1:9" ht="12.75">
      <c r="A186" s="475" t="s">
        <v>303</v>
      </c>
      <c r="B186" s="535"/>
      <c r="C186" s="535" t="s">
        <v>305</v>
      </c>
      <c r="D186" s="535"/>
      <c r="E186" s="105"/>
      <c r="F186" s="535" t="s">
        <v>305</v>
      </c>
      <c r="G186" s="535"/>
      <c r="H186" s="105"/>
      <c r="I186" s="105" t="s">
        <v>305</v>
      </c>
    </row>
    <row r="187" spans="1:9" ht="12.75">
      <c r="A187" s="462" t="s">
        <v>106</v>
      </c>
      <c r="B187" s="463"/>
      <c r="C187" s="463"/>
      <c r="D187" s="463"/>
      <c r="E187" s="463"/>
      <c r="F187" s="463"/>
      <c r="G187" s="463"/>
      <c r="H187" s="463"/>
      <c r="I187" s="105"/>
    </row>
    <row r="188" spans="1:9" ht="42" customHeight="1">
      <c r="A188" s="751" t="s">
        <v>107</v>
      </c>
      <c r="B188" s="523"/>
      <c r="C188" s="523"/>
      <c r="D188" s="523"/>
      <c r="E188" s="523"/>
      <c r="F188" s="523"/>
      <c r="G188" s="523"/>
      <c r="H188" s="523"/>
      <c r="I188" s="524"/>
    </row>
    <row r="189" spans="1:9" ht="21.75" customHeight="1">
      <c r="A189" s="751" t="s">
        <v>108</v>
      </c>
      <c r="B189" s="523"/>
      <c r="C189" s="523"/>
      <c r="D189" s="523"/>
      <c r="E189" s="523"/>
      <c r="F189" s="523"/>
      <c r="G189" s="523"/>
      <c r="H189" s="523"/>
      <c r="I189" s="524"/>
    </row>
    <row r="190" spans="1:9" ht="18" customHeight="1">
      <c r="A190" s="522" t="s">
        <v>123</v>
      </c>
      <c r="B190" s="523"/>
      <c r="C190" s="523"/>
      <c r="D190" s="523"/>
      <c r="E190" s="523"/>
      <c r="F190" s="523"/>
      <c r="G190" s="523"/>
      <c r="H190" s="524"/>
      <c r="I190" s="103" t="s">
        <v>127</v>
      </c>
    </row>
    <row r="191" spans="1:9" ht="12.75">
      <c r="A191" s="743" t="s">
        <v>390</v>
      </c>
      <c r="B191" s="734"/>
      <c r="C191" s="734"/>
      <c r="D191" s="734"/>
      <c r="E191" s="734"/>
      <c r="F191" s="734"/>
      <c r="G191" s="734"/>
      <c r="H191" s="735"/>
      <c r="I191" s="105"/>
    </row>
    <row r="192" spans="1:9" ht="12.75">
      <c r="A192" s="743" t="s">
        <v>124</v>
      </c>
      <c r="B192" s="734"/>
      <c r="C192" s="734"/>
      <c r="D192" s="734"/>
      <c r="E192" s="734"/>
      <c r="F192" s="734"/>
      <c r="G192" s="734"/>
      <c r="H192" s="735"/>
      <c r="I192" s="105"/>
    </row>
    <row r="193" spans="1:13" ht="21" customHeight="1">
      <c r="A193" s="743" t="s">
        <v>389</v>
      </c>
      <c r="B193" s="744"/>
      <c r="C193" s="744"/>
      <c r="D193" s="744"/>
      <c r="E193" s="744"/>
      <c r="F193" s="744"/>
      <c r="G193" s="744"/>
      <c r="H193" s="745"/>
      <c r="I193" s="105"/>
    </row>
    <row r="194" spans="1:13" ht="6.75" customHeight="1">
      <c r="A194" s="477"/>
      <c r="B194" s="478"/>
      <c r="C194" s="478"/>
      <c r="D194" s="478"/>
      <c r="E194" s="478"/>
      <c r="F194" s="478"/>
      <c r="G194" s="478"/>
      <c r="H194" s="478"/>
      <c r="I194" s="479"/>
    </row>
    <row r="195" spans="1:13" ht="15.75" customHeight="1">
      <c r="A195" s="475" t="s">
        <v>109</v>
      </c>
      <c r="B195" s="476"/>
      <c r="C195" s="476"/>
      <c r="D195" s="476"/>
      <c r="E195" s="476"/>
      <c r="F195" s="476"/>
      <c r="G195" s="476"/>
      <c r="H195" s="476"/>
      <c r="I195" s="476"/>
    </row>
    <row r="196" spans="1:13" ht="7.5" customHeight="1">
      <c r="A196" s="460"/>
      <c r="B196" s="461"/>
      <c r="C196" s="461"/>
      <c r="D196" s="461"/>
      <c r="E196" s="461"/>
      <c r="F196" s="461"/>
      <c r="G196" s="461"/>
      <c r="H196" s="461"/>
      <c r="I196" s="461"/>
    </row>
    <row r="197" spans="1:13" ht="15" hidden="1" customHeight="1">
      <c r="A197" s="26"/>
      <c r="B197" s="26"/>
      <c r="C197" s="26"/>
      <c r="D197" s="26"/>
      <c r="E197" s="26"/>
      <c r="F197" s="26"/>
      <c r="G197" s="26"/>
      <c r="H197" s="24"/>
      <c r="I197" s="41"/>
      <c r="J197" s="16"/>
      <c r="K197" s="9"/>
      <c r="L197" s="3"/>
      <c r="M197" s="10"/>
    </row>
    <row r="198" spans="1:13" ht="24" customHeight="1">
      <c r="A198" s="480" t="s">
        <v>306</v>
      </c>
      <c r="B198" s="480"/>
      <c r="C198" s="480"/>
      <c r="D198" s="480"/>
      <c r="E198" s="480"/>
      <c r="F198" s="480"/>
      <c r="G198" s="480"/>
      <c r="H198" s="480"/>
      <c r="I198" s="481"/>
    </row>
    <row r="199" spans="1:13" ht="15.75">
      <c r="A199" s="609" t="s">
        <v>162</v>
      </c>
      <c r="B199" s="609"/>
      <c r="C199" s="609"/>
      <c r="D199" s="609"/>
      <c r="E199" s="609"/>
      <c r="F199" s="609"/>
      <c r="G199" s="609"/>
      <c r="H199" s="609"/>
      <c r="I199" s="610"/>
    </row>
    <row r="200" spans="1:13" ht="11.45" customHeight="1">
      <c r="A200" s="19"/>
      <c r="B200" s="19"/>
      <c r="C200" s="19"/>
      <c r="D200" s="19"/>
      <c r="E200" s="19"/>
      <c r="F200" s="19"/>
      <c r="G200" s="19"/>
      <c r="H200" s="19"/>
      <c r="I200" s="38"/>
    </row>
    <row r="201" spans="1:13" ht="21" customHeight="1">
      <c r="A201" s="482" t="s">
        <v>110</v>
      </c>
      <c r="B201" s="482"/>
      <c r="C201" s="482"/>
      <c r="D201" s="482"/>
      <c r="E201" s="482"/>
      <c r="F201" s="482"/>
      <c r="G201" s="482"/>
      <c r="H201" s="482"/>
      <c r="I201" s="481"/>
    </row>
    <row r="202" spans="1:13" ht="48" customHeight="1">
      <c r="A202" s="611" t="s">
        <v>391</v>
      </c>
      <c r="B202" s="611"/>
      <c r="C202" s="611"/>
      <c r="D202" s="611"/>
      <c r="E202" s="611"/>
      <c r="F202" s="611"/>
      <c r="G202" s="611"/>
      <c r="H202" s="611"/>
      <c r="I202" s="612"/>
    </row>
    <row r="203" spans="1:13" ht="45" customHeight="1">
      <c r="A203" s="579" t="s">
        <v>225</v>
      </c>
      <c r="B203" s="447"/>
      <c r="C203" s="400" t="s">
        <v>148</v>
      </c>
      <c r="D203" s="400"/>
      <c r="E203" s="400" t="s">
        <v>149</v>
      </c>
      <c r="F203" s="400"/>
      <c r="G203" s="338" t="s">
        <v>150</v>
      </c>
      <c r="H203" s="339"/>
      <c r="I203" s="340"/>
    </row>
    <row r="204" spans="1:13" ht="14.25" customHeight="1">
      <c r="A204" s="366" t="s">
        <v>229</v>
      </c>
      <c r="B204" s="367"/>
      <c r="C204" s="613" t="s">
        <v>185</v>
      </c>
      <c r="D204" s="613"/>
      <c r="E204" s="341">
        <v>0</v>
      </c>
      <c r="F204" s="341"/>
      <c r="G204" s="345">
        <v>0</v>
      </c>
      <c r="H204" s="346"/>
      <c r="I204" s="337"/>
    </row>
    <row r="205" spans="1:13" ht="12" customHeight="1">
      <c r="A205" s="366" t="s">
        <v>230</v>
      </c>
      <c r="B205" s="367"/>
      <c r="C205" s="356" t="s">
        <v>186</v>
      </c>
      <c r="D205" s="356"/>
      <c r="E205" s="351">
        <f>I180</f>
        <v>2536.62</v>
      </c>
      <c r="F205" s="352"/>
      <c r="G205" s="357">
        <f>ROUND((1/600)*E205,2)</f>
        <v>4.2300000000000004</v>
      </c>
      <c r="H205" s="358"/>
      <c r="I205" s="340"/>
    </row>
    <row r="206" spans="1:13" ht="12" customHeight="1">
      <c r="A206" s="370" t="s">
        <v>134</v>
      </c>
      <c r="B206" s="371"/>
      <c r="C206" s="372"/>
      <c r="D206" s="372"/>
      <c r="E206" s="372"/>
      <c r="F206" s="373"/>
      <c r="G206" s="357">
        <f>SUM(G204+G205)</f>
        <v>4.2300000000000004</v>
      </c>
      <c r="H206" s="358"/>
      <c r="I206" s="340"/>
    </row>
    <row r="207" spans="1:13" ht="6.75" customHeight="1">
      <c r="A207" s="464"/>
      <c r="B207" s="465"/>
      <c r="C207" s="466"/>
      <c r="D207" s="466"/>
      <c r="E207" s="466"/>
      <c r="F207" s="466"/>
      <c r="G207" s="466"/>
      <c r="H207" s="466"/>
      <c r="I207" s="467"/>
    </row>
    <row r="208" spans="1:13" ht="12" customHeight="1">
      <c r="A208" s="595" t="s">
        <v>231</v>
      </c>
      <c r="B208" s="596"/>
      <c r="C208" s="353" t="s">
        <v>185</v>
      </c>
      <c r="D208" s="353"/>
      <c r="E208" s="344">
        <v>0</v>
      </c>
      <c r="F208" s="344"/>
      <c r="G208" s="345">
        <v>0</v>
      </c>
      <c r="H208" s="346"/>
      <c r="I208" s="337"/>
    </row>
    <row r="209" spans="1:256" ht="12.75">
      <c r="A209" s="366" t="s">
        <v>232</v>
      </c>
      <c r="B209" s="367"/>
      <c r="C209" s="356" t="s">
        <v>186</v>
      </c>
      <c r="D209" s="356"/>
      <c r="E209" s="341">
        <f>I180</f>
        <v>2536.62</v>
      </c>
      <c r="F209" s="341"/>
      <c r="G209" s="591">
        <f>ROUND((1/600)*E209,2)</f>
        <v>4.2300000000000004</v>
      </c>
      <c r="H209" s="592"/>
      <c r="I209" s="337"/>
    </row>
    <row r="210" spans="1:256" ht="12.75">
      <c r="A210" s="362" t="s">
        <v>134</v>
      </c>
      <c r="B210" s="363"/>
      <c r="C210" s="364"/>
      <c r="D210" s="364"/>
      <c r="E210" s="364"/>
      <c r="F210" s="365"/>
      <c r="G210" s="357">
        <f>SUM(G208+G209)</f>
        <v>4.2300000000000004</v>
      </c>
      <c r="H210" s="358"/>
      <c r="I210" s="340"/>
    </row>
    <row r="211" spans="1:256" ht="6.75" customHeight="1">
      <c r="A211" s="464"/>
      <c r="B211" s="465"/>
      <c r="C211" s="407"/>
      <c r="D211" s="407"/>
      <c r="E211" s="407"/>
      <c r="F211" s="407"/>
      <c r="G211" s="407"/>
      <c r="H211" s="407"/>
      <c r="I211" s="467"/>
      <c r="K211" s="8"/>
    </row>
    <row r="212" spans="1:256" ht="12.75">
      <c r="A212" s="355" t="s">
        <v>245</v>
      </c>
      <c r="B212" s="355"/>
      <c r="C212" s="353" t="s">
        <v>311</v>
      </c>
      <c r="D212" s="353"/>
      <c r="E212" s="588">
        <v>0</v>
      </c>
      <c r="F212" s="588"/>
      <c r="G212" s="345">
        <v>0</v>
      </c>
      <c r="H212" s="346"/>
      <c r="I212" s="337"/>
    </row>
    <row r="213" spans="1:256" ht="12.75">
      <c r="A213" s="368" t="s">
        <v>233</v>
      </c>
      <c r="B213" s="368"/>
      <c r="C213" s="356" t="s">
        <v>187</v>
      </c>
      <c r="D213" s="356"/>
      <c r="E213" s="342">
        <v>0</v>
      </c>
      <c r="F213" s="343"/>
      <c r="G213" s="345">
        <v>0</v>
      </c>
      <c r="H213" s="359"/>
      <c r="I213" s="337"/>
    </row>
    <row r="214" spans="1:256" ht="12.75">
      <c r="A214" s="362" t="s">
        <v>134</v>
      </c>
      <c r="B214" s="363"/>
      <c r="C214" s="364"/>
      <c r="D214" s="364"/>
      <c r="E214" s="364"/>
      <c r="F214" s="365"/>
      <c r="G214" s="357">
        <f>SUM(G212+G213)</f>
        <v>0</v>
      </c>
      <c r="H214" s="358"/>
      <c r="I214" s="340"/>
    </row>
    <row r="215" spans="1:256" ht="6" customHeight="1">
      <c r="A215" s="464"/>
      <c r="B215" s="465"/>
      <c r="C215" s="407"/>
      <c r="D215" s="407"/>
      <c r="E215" s="407"/>
      <c r="F215" s="407"/>
      <c r="G215" s="407"/>
      <c r="H215" s="407"/>
      <c r="I215" s="467"/>
    </row>
    <row r="216" spans="1:256" ht="13.5" customHeight="1">
      <c r="A216" s="354" t="s">
        <v>246</v>
      </c>
      <c r="B216" s="355"/>
      <c r="C216" s="353" t="s">
        <v>188</v>
      </c>
      <c r="D216" s="353"/>
      <c r="E216" s="344">
        <v>0</v>
      </c>
      <c r="F216" s="344"/>
      <c r="G216" s="356">
        <v>0</v>
      </c>
      <c r="H216" s="356"/>
      <c r="I216" s="397"/>
      <c r="J216" s="454"/>
      <c r="K216" s="454"/>
      <c r="L216" s="454"/>
      <c r="M216" s="454"/>
      <c r="N216" s="454"/>
      <c r="O216" s="454"/>
      <c r="P216" s="454"/>
      <c r="Q216" s="410" t="s">
        <v>165</v>
      </c>
      <c r="R216" s="410"/>
      <c r="S216" s="410"/>
      <c r="T216" s="410"/>
      <c r="U216" s="410"/>
      <c r="V216" s="410"/>
      <c r="W216" s="410"/>
      <c r="X216" s="410"/>
      <c r="Y216" s="410" t="s">
        <v>165</v>
      </c>
      <c r="Z216" s="410"/>
      <c r="AA216" s="410"/>
      <c r="AB216" s="410"/>
      <c r="AC216" s="410"/>
      <c r="AD216" s="410"/>
      <c r="AE216" s="410"/>
      <c r="AF216" s="410"/>
      <c r="AG216" s="410" t="s">
        <v>165</v>
      </c>
      <c r="AH216" s="410"/>
      <c r="AI216" s="410"/>
      <c r="AJ216" s="410"/>
      <c r="AK216" s="410"/>
      <c r="AL216" s="410"/>
      <c r="AM216" s="410"/>
      <c r="AN216" s="410"/>
      <c r="AO216" s="410" t="s">
        <v>165</v>
      </c>
      <c r="AP216" s="410"/>
      <c r="AQ216" s="410"/>
      <c r="AR216" s="410"/>
      <c r="AS216" s="410"/>
      <c r="AT216" s="410"/>
      <c r="AU216" s="410"/>
      <c r="AV216" s="410"/>
      <c r="AW216" s="410" t="s">
        <v>165</v>
      </c>
      <c r="AX216" s="410"/>
      <c r="AY216" s="410"/>
      <c r="AZ216" s="410"/>
      <c r="BA216" s="410"/>
      <c r="BB216" s="410"/>
      <c r="BC216" s="410"/>
      <c r="BD216" s="410"/>
      <c r="BE216" s="410" t="s">
        <v>165</v>
      </c>
      <c r="BF216" s="410"/>
      <c r="BG216" s="410"/>
      <c r="BH216" s="410"/>
      <c r="BI216" s="410"/>
      <c r="BJ216" s="410"/>
      <c r="BK216" s="410"/>
      <c r="BL216" s="410"/>
      <c r="BM216" s="410" t="s">
        <v>165</v>
      </c>
      <c r="BN216" s="410"/>
      <c r="BO216" s="410"/>
      <c r="BP216" s="410"/>
      <c r="BQ216" s="410"/>
      <c r="BR216" s="410"/>
      <c r="BS216" s="410"/>
      <c r="BT216" s="410"/>
      <c r="BU216" s="410" t="s">
        <v>165</v>
      </c>
      <c r="BV216" s="410"/>
      <c r="BW216" s="410"/>
      <c r="BX216" s="410"/>
      <c r="BY216" s="413"/>
      <c r="BZ216" s="414"/>
      <c r="CA216" s="414"/>
      <c r="CB216" s="414"/>
      <c r="CC216" s="410" t="s">
        <v>165</v>
      </c>
      <c r="CD216" s="410"/>
      <c r="CE216" s="410"/>
      <c r="CF216" s="410"/>
      <c r="CG216" s="410"/>
      <c r="CH216" s="410"/>
      <c r="CI216" s="410"/>
      <c r="CJ216" s="410"/>
      <c r="CK216" s="410" t="s">
        <v>165</v>
      </c>
      <c r="CL216" s="410"/>
      <c r="CM216" s="410"/>
      <c r="CN216" s="410"/>
      <c r="CO216" s="410"/>
      <c r="CP216" s="410"/>
      <c r="CQ216" s="410"/>
      <c r="CR216" s="410"/>
      <c r="CS216" s="410" t="s">
        <v>165</v>
      </c>
      <c r="CT216" s="410"/>
      <c r="CU216" s="410"/>
      <c r="CV216" s="410"/>
      <c r="CW216" s="410"/>
      <c r="CX216" s="410"/>
      <c r="CY216" s="410"/>
      <c r="CZ216" s="410"/>
      <c r="DA216" s="410" t="s">
        <v>165</v>
      </c>
      <c r="DB216" s="410"/>
      <c r="DC216" s="410"/>
      <c r="DD216" s="410"/>
      <c r="DE216" s="410"/>
      <c r="DF216" s="410"/>
      <c r="DG216" s="410"/>
      <c r="DH216" s="410"/>
      <c r="DI216" s="410" t="s">
        <v>165</v>
      </c>
      <c r="DJ216" s="410"/>
      <c r="DK216" s="410"/>
      <c r="DL216" s="410"/>
      <c r="DM216" s="410"/>
      <c r="DN216" s="410"/>
      <c r="DO216" s="410"/>
      <c r="DP216" s="410"/>
      <c r="DQ216" s="410" t="s">
        <v>165</v>
      </c>
      <c r="DR216" s="410"/>
      <c r="DS216" s="410"/>
      <c r="DT216" s="410"/>
      <c r="DU216" s="410"/>
      <c r="DV216" s="410"/>
      <c r="DW216" s="410"/>
      <c r="DX216" s="410"/>
      <c r="DY216" s="410" t="s">
        <v>165</v>
      </c>
      <c r="DZ216" s="410"/>
      <c r="EA216" s="410"/>
      <c r="EB216" s="410"/>
      <c r="EC216" s="410"/>
      <c r="ED216" s="410"/>
      <c r="EE216" s="410"/>
      <c r="EF216" s="410"/>
      <c r="EG216" s="410" t="s">
        <v>165</v>
      </c>
      <c r="EH216" s="410"/>
      <c r="EI216" s="410"/>
      <c r="EJ216" s="410"/>
      <c r="EK216" s="410"/>
      <c r="EL216" s="410"/>
      <c r="EM216" s="410"/>
      <c r="EN216" s="410"/>
      <c r="EO216" s="410" t="s">
        <v>165</v>
      </c>
      <c r="EP216" s="410"/>
      <c r="EQ216" s="410"/>
      <c r="ER216" s="410"/>
      <c r="ES216" s="410"/>
      <c r="ET216" s="410"/>
      <c r="EU216" s="410"/>
      <c r="EV216" s="410"/>
      <c r="EW216" s="410" t="s">
        <v>165</v>
      </c>
      <c r="EX216" s="410"/>
      <c r="EY216" s="410"/>
      <c r="EZ216" s="410"/>
      <c r="FA216" s="410"/>
      <c r="FB216" s="410"/>
      <c r="FC216" s="410"/>
      <c r="FD216" s="410"/>
      <c r="FE216" s="410" t="s">
        <v>165</v>
      </c>
      <c r="FF216" s="410"/>
      <c r="FG216" s="410"/>
      <c r="FH216" s="410"/>
      <c r="FI216" s="410"/>
      <c r="FJ216" s="410"/>
      <c r="FK216" s="410"/>
      <c r="FL216" s="410"/>
      <c r="FM216" s="410" t="s">
        <v>165</v>
      </c>
      <c r="FN216" s="410"/>
      <c r="FO216" s="410"/>
      <c r="FP216" s="410"/>
      <c r="FQ216" s="410"/>
      <c r="FR216" s="410"/>
      <c r="FS216" s="410"/>
      <c r="FT216" s="410"/>
      <c r="FU216" s="410" t="s">
        <v>165</v>
      </c>
      <c r="FV216" s="410"/>
      <c r="FW216" s="410"/>
      <c r="FX216" s="410"/>
      <c r="FY216" s="410"/>
      <c r="FZ216" s="410"/>
      <c r="GA216" s="410"/>
      <c r="GB216" s="410"/>
      <c r="GC216" s="410" t="s">
        <v>165</v>
      </c>
      <c r="GD216" s="410"/>
      <c r="GE216" s="410"/>
      <c r="GF216" s="410"/>
      <c r="GG216" s="410"/>
      <c r="GH216" s="410"/>
      <c r="GI216" s="410"/>
      <c r="GJ216" s="410"/>
      <c r="GK216" s="410" t="s">
        <v>165</v>
      </c>
      <c r="GL216" s="410"/>
      <c r="GM216" s="410"/>
      <c r="GN216" s="410"/>
      <c r="GO216" s="410"/>
      <c r="GP216" s="410"/>
      <c r="GQ216" s="410"/>
      <c r="GR216" s="410"/>
      <c r="GS216" s="410" t="s">
        <v>165</v>
      </c>
      <c r="GT216" s="410"/>
      <c r="GU216" s="410"/>
      <c r="GV216" s="410"/>
      <c r="GW216" s="410"/>
      <c r="GX216" s="410"/>
      <c r="GY216" s="410"/>
      <c r="GZ216" s="410"/>
      <c r="HA216" s="410" t="s">
        <v>165</v>
      </c>
      <c r="HB216" s="410"/>
      <c r="HC216" s="410"/>
      <c r="HD216" s="410"/>
      <c r="HE216" s="410"/>
      <c r="HF216" s="410"/>
      <c r="HG216" s="410"/>
      <c r="HH216" s="410"/>
      <c r="HI216" s="410" t="s">
        <v>165</v>
      </c>
      <c r="HJ216" s="410"/>
      <c r="HK216" s="410"/>
      <c r="HL216" s="410"/>
      <c r="HM216" s="410"/>
      <c r="HN216" s="410"/>
      <c r="HO216" s="410"/>
      <c r="HP216" s="410"/>
      <c r="HQ216" s="410" t="s">
        <v>165</v>
      </c>
      <c r="HR216" s="410"/>
      <c r="HS216" s="410"/>
      <c r="HT216" s="410"/>
      <c r="HU216" s="410"/>
      <c r="HV216" s="410"/>
      <c r="HW216" s="410"/>
      <c r="HX216" s="410"/>
      <c r="HY216" s="410" t="s">
        <v>165</v>
      </c>
      <c r="HZ216" s="410"/>
      <c r="IA216" s="410"/>
      <c r="IB216" s="410"/>
      <c r="IC216" s="410"/>
      <c r="ID216" s="410"/>
      <c r="IE216" s="410"/>
      <c r="IF216" s="410"/>
      <c r="IG216" s="410" t="s">
        <v>165</v>
      </c>
      <c r="IH216" s="410"/>
      <c r="II216" s="410"/>
      <c r="IJ216" s="410"/>
      <c r="IK216" s="410"/>
      <c r="IL216" s="410"/>
      <c r="IM216" s="410"/>
      <c r="IN216" s="410"/>
      <c r="IO216" s="410" t="s">
        <v>165</v>
      </c>
      <c r="IP216" s="410"/>
      <c r="IQ216" s="410"/>
      <c r="IR216" s="410"/>
      <c r="IS216" s="410"/>
      <c r="IT216" s="410"/>
      <c r="IU216" s="410"/>
      <c r="IV216" s="410"/>
    </row>
    <row r="217" spans="1:256" ht="13.5" customHeight="1">
      <c r="A217" s="432" t="s">
        <v>319</v>
      </c>
      <c r="B217" s="433"/>
      <c r="C217" s="356" t="s">
        <v>189</v>
      </c>
      <c r="D217" s="356"/>
      <c r="E217" s="351">
        <f>I180</f>
        <v>2536.62</v>
      </c>
      <c r="F217" s="352"/>
      <c r="G217" s="356">
        <f>ROUND((1/1350)*E217,2)</f>
        <v>1.88</v>
      </c>
      <c r="H217" s="468"/>
      <c r="I217" s="397"/>
      <c r="J217" s="455"/>
      <c r="K217" s="455"/>
      <c r="L217" s="456"/>
      <c r="M217" s="457"/>
      <c r="N217" s="457"/>
      <c r="O217" s="457"/>
      <c r="P217" s="457"/>
      <c r="Q217" s="417" t="s">
        <v>164</v>
      </c>
      <c r="R217" s="411"/>
      <c r="S217" s="411"/>
      <c r="T217" s="412" t="s">
        <v>160</v>
      </c>
      <c r="U217" s="413"/>
      <c r="V217" s="414"/>
      <c r="W217" s="414"/>
      <c r="X217" s="414"/>
      <c r="Y217" s="411" t="s">
        <v>164</v>
      </c>
      <c r="Z217" s="411"/>
      <c r="AA217" s="411"/>
      <c r="AB217" s="412" t="s">
        <v>160</v>
      </c>
      <c r="AC217" s="413"/>
      <c r="AD217" s="414"/>
      <c r="AE217" s="414"/>
      <c r="AF217" s="414"/>
      <c r="AG217" s="411" t="s">
        <v>164</v>
      </c>
      <c r="AH217" s="411"/>
      <c r="AI217" s="411"/>
      <c r="AJ217" s="412" t="s">
        <v>160</v>
      </c>
      <c r="AK217" s="413"/>
      <c r="AL217" s="414"/>
      <c r="AM217" s="414"/>
      <c r="AN217" s="414"/>
      <c r="AO217" s="411" t="s">
        <v>164</v>
      </c>
      <c r="AP217" s="411"/>
      <c r="AQ217" s="411"/>
      <c r="AR217" s="412" t="s">
        <v>160</v>
      </c>
      <c r="AS217" s="413"/>
      <c r="AT217" s="414"/>
      <c r="AU217" s="414"/>
      <c r="AV217" s="414"/>
      <c r="AW217" s="411" t="s">
        <v>164</v>
      </c>
      <c r="AX217" s="411"/>
      <c r="AY217" s="411"/>
      <c r="AZ217" s="412" t="s">
        <v>160</v>
      </c>
      <c r="BA217" s="413"/>
      <c r="BB217" s="414"/>
      <c r="BC217" s="414"/>
      <c r="BD217" s="414"/>
      <c r="BE217" s="411" t="s">
        <v>164</v>
      </c>
      <c r="BF217" s="411"/>
      <c r="BG217" s="411"/>
      <c r="BH217" s="412" t="s">
        <v>160</v>
      </c>
      <c r="BI217" s="413"/>
      <c r="BJ217" s="414"/>
      <c r="BK217" s="414"/>
      <c r="BL217" s="414"/>
      <c r="BM217" s="411" t="s">
        <v>164</v>
      </c>
      <c r="BN217" s="411"/>
      <c r="BO217" s="411"/>
      <c r="BP217" s="412" t="s">
        <v>160</v>
      </c>
      <c r="BQ217" s="413"/>
      <c r="BR217" s="414"/>
      <c r="BS217" s="414"/>
      <c r="BT217" s="414"/>
      <c r="BU217" s="411" t="s">
        <v>164</v>
      </c>
      <c r="BV217" s="411"/>
      <c r="BW217" s="411"/>
      <c r="BX217" s="412" t="s">
        <v>160</v>
      </c>
      <c r="BY217" s="413"/>
      <c r="BZ217" s="414"/>
      <c r="CA217" s="414"/>
      <c r="CB217" s="414"/>
      <c r="CC217" s="411" t="s">
        <v>164</v>
      </c>
      <c r="CD217" s="411"/>
      <c r="CE217" s="411"/>
      <c r="CF217" s="412" t="s">
        <v>160</v>
      </c>
      <c r="CG217" s="413"/>
      <c r="CH217" s="414"/>
      <c r="CI217" s="414"/>
      <c r="CJ217" s="414"/>
      <c r="CK217" s="411" t="s">
        <v>164</v>
      </c>
      <c r="CL217" s="411"/>
      <c r="CM217" s="411"/>
      <c r="CN217" s="412" t="s">
        <v>160</v>
      </c>
      <c r="CO217" s="413"/>
      <c r="CP217" s="414"/>
      <c r="CQ217" s="414"/>
      <c r="CR217" s="414"/>
      <c r="CS217" s="411" t="s">
        <v>164</v>
      </c>
      <c r="CT217" s="411"/>
      <c r="CU217" s="411"/>
      <c r="CV217" s="412" t="s">
        <v>160</v>
      </c>
      <c r="CW217" s="413"/>
      <c r="CX217" s="414"/>
      <c r="CY217" s="414"/>
      <c r="CZ217" s="414"/>
      <c r="DA217" s="411" t="s">
        <v>164</v>
      </c>
      <c r="DB217" s="411"/>
      <c r="DC217" s="411"/>
      <c r="DD217" s="412" t="s">
        <v>160</v>
      </c>
      <c r="DE217" s="413"/>
      <c r="DF217" s="414"/>
      <c r="DG217" s="414"/>
      <c r="DH217" s="414"/>
      <c r="DI217" s="411" t="s">
        <v>164</v>
      </c>
      <c r="DJ217" s="411"/>
      <c r="DK217" s="411"/>
      <c r="DL217" s="412" t="s">
        <v>160</v>
      </c>
      <c r="DM217" s="413"/>
      <c r="DN217" s="414"/>
      <c r="DO217" s="414"/>
      <c r="DP217" s="414"/>
      <c r="DQ217" s="411" t="s">
        <v>164</v>
      </c>
      <c r="DR217" s="411"/>
      <c r="DS217" s="411"/>
      <c r="DT217" s="412" t="s">
        <v>160</v>
      </c>
      <c r="DU217" s="413"/>
      <c r="DV217" s="414"/>
      <c r="DW217" s="414"/>
      <c r="DX217" s="414"/>
      <c r="DY217" s="411" t="s">
        <v>164</v>
      </c>
      <c r="DZ217" s="411"/>
      <c r="EA217" s="411"/>
      <c r="EB217" s="412" t="s">
        <v>160</v>
      </c>
      <c r="EC217" s="413"/>
      <c r="ED217" s="414"/>
      <c r="EE217" s="414"/>
      <c r="EF217" s="414"/>
      <c r="EG217" s="411" t="s">
        <v>164</v>
      </c>
      <c r="EH217" s="411"/>
      <c r="EI217" s="411"/>
      <c r="EJ217" s="412" t="s">
        <v>160</v>
      </c>
      <c r="EK217" s="413"/>
      <c r="EL217" s="414"/>
      <c r="EM217" s="414"/>
      <c r="EN217" s="414"/>
      <c r="EO217" s="411" t="s">
        <v>164</v>
      </c>
      <c r="EP217" s="411"/>
      <c r="EQ217" s="411"/>
      <c r="ER217" s="412" t="s">
        <v>160</v>
      </c>
      <c r="ES217" s="413"/>
      <c r="ET217" s="414"/>
      <c r="EU217" s="414"/>
      <c r="EV217" s="414"/>
      <c r="EW217" s="411" t="s">
        <v>164</v>
      </c>
      <c r="EX217" s="411"/>
      <c r="EY217" s="411"/>
      <c r="EZ217" s="412" t="s">
        <v>160</v>
      </c>
      <c r="FA217" s="413"/>
      <c r="FB217" s="414"/>
      <c r="FC217" s="414"/>
      <c r="FD217" s="414"/>
      <c r="FE217" s="411" t="s">
        <v>164</v>
      </c>
      <c r="FF217" s="411"/>
      <c r="FG217" s="411"/>
      <c r="FH217" s="412" t="s">
        <v>160</v>
      </c>
      <c r="FI217" s="413"/>
      <c r="FJ217" s="414"/>
      <c r="FK217" s="414"/>
      <c r="FL217" s="414"/>
      <c r="FM217" s="411" t="s">
        <v>164</v>
      </c>
      <c r="FN217" s="411"/>
      <c r="FO217" s="411"/>
      <c r="FP217" s="412" t="s">
        <v>160</v>
      </c>
      <c r="FQ217" s="413"/>
      <c r="FR217" s="414"/>
      <c r="FS217" s="414"/>
      <c r="FT217" s="414"/>
      <c r="FU217" s="411" t="s">
        <v>164</v>
      </c>
      <c r="FV217" s="411"/>
      <c r="FW217" s="411"/>
      <c r="FX217" s="412" t="s">
        <v>160</v>
      </c>
      <c r="FY217" s="413"/>
      <c r="FZ217" s="414"/>
      <c r="GA217" s="414"/>
      <c r="GB217" s="414"/>
      <c r="GC217" s="411" t="s">
        <v>164</v>
      </c>
      <c r="GD217" s="411"/>
      <c r="GE217" s="411"/>
      <c r="GF217" s="412" t="s">
        <v>160</v>
      </c>
      <c r="GG217" s="413"/>
      <c r="GH217" s="414"/>
      <c r="GI217" s="414"/>
      <c r="GJ217" s="414"/>
      <c r="GK217" s="411" t="s">
        <v>164</v>
      </c>
      <c r="GL217" s="411"/>
      <c r="GM217" s="411"/>
      <c r="GN217" s="412" t="s">
        <v>160</v>
      </c>
      <c r="GO217" s="413"/>
      <c r="GP217" s="414"/>
      <c r="GQ217" s="414"/>
      <c r="GR217" s="414"/>
      <c r="GS217" s="411" t="s">
        <v>164</v>
      </c>
      <c r="GT217" s="411"/>
      <c r="GU217" s="411"/>
      <c r="GV217" s="412" t="s">
        <v>160</v>
      </c>
      <c r="GW217" s="413"/>
      <c r="GX217" s="414"/>
      <c r="GY217" s="414"/>
      <c r="GZ217" s="414"/>
      <c r="HA217" s="411" t="s">
        <v>164</v>
      </c>
      <c r="HB217" s="411"/>
      <c r="HC217" s="411"/>
      <c r="HD217" s="412" t="s">
        <v>160</v>
      </c>
      <c r="HE217" s="413"/>
      <c r="HF217" s="414"/>
      <c r="HG217" s="414"/>
      <c r="HH217" s="414"/>
      <c r="HI217" s="411" t="s">
        <v>164</v>
      </c>
      <c r="HJ217" s="411"/>
      <c r="HK217" s="411"/>
      <c r="HL217" s="412" t="s">
        <v>160</v>
      </c>
      <c r="HM217" s="413"/>
      <c r="HN217" s="414"/>
      <c r="HO217" s="414"/>
      <c r="HP217" s="414"/>
      <c r="HQ217" s="411" t="s">
        <v>164</v>
      </c>
      <c r="HR217" s="411"/>
      <c r="HS217" s="411"/>
      <c r="HT217" s="412" t="s">
        <v>160</v>
      </c>
      <c r="HU217" s="413"/>
      <c r="HV217" s="414"/>
      <c r="HW217" s="414"/>
      <c r="HX217" s="414"/>
      <c r="HY217" s="411" t="s">
        <v>164</v>
      </c>
      <c r="HZ217" s="411"/>
      <c r="IA217" s="411"/>
      <c r="IB217" s="412" t="s">
        <v>160</v>
      </c>
      <c r="IC217" s="413"/>
      <c r="ID217" s="414"/>
      <c r="IE217" s="414"/>
      <c r="IF217" s="414"/>
      <c r="IG217" s="411" t="s">
        <v>164</v>
      </c>
      <c r="IH217" s="411"/>
      <c r="II217" s="411"/>
      <c r="IJ217" s="412" t="s">
        <v>160</v>
      </c>
      <c r="IK217" s="413"/>
      <c r="IL217" s="414"/>
      <c r="IM217" s="414"/>
      <c r="IN217" s="414"/>
      <c r="IO217" s="411" t="s">
        <v>164</v>
      </c>
      <c r="IP217" s="411"/>
      <c r="IQ217" s="411"/>
      <c r="IR217" s="412" t="s">
        <v>160</v>
      </c>
      <c r="IS217" s="413"/>
      <c r="IT217" s="414"/>
      <c r="IU217" s="414"/>
      <c r="IV217" s="414"/>
    </row>
    <row r="218" spans="1:256" ht="13.5" customHeight="1">
      <c r="A218" s="362" t="s">
        <v>134</v>
      </c>
      <c r="B218" s="363"/>
      <c r="C218" s="364"/>
      <c r="D218" s="364"/>
      <c r="E218" s="364"/>
      <c r="F218" s="365"/>
      <c r="G218" s="469">
        <f>SUM(G216+G217)</f>
        <v>1.88</v>
      </c>
      <c r="H218" s="470"/>
      <c r="I218" s="471"/>
      <c r="J218" s="455"/>
      <c r="K218" s="455"/>
      <c r="L218" s="456"/>
      <c r="M218" s="457"/>
      <c r="N218" s="457"/>
      <c r="O218" s="457"/>
      <c r="P218" s="457"/>
      <c r="Q218" s="416"/>
      <c r="R218" s="416"/>
      <c r="S218" s="417"/>
      <c r="T218" s="412"/>
      <c r="U218" s="413"/>
      <c r="V218" s="414"/>
      <c r="W218" s="414"/>
      <c r="X218" s="414"/>
      <c r="Y218" s="415"/>
      <c r="Z218" s="416"/>
      <c r="AA218" s="417"/>
      <c r="AB218" s="412"/>
      <c r="AC218" s="413"/>
      <c r="AD218" s="414"/>
      <c r="AE218" s="414"/>
      <c r="AF218" s="414"/>
      <c r="AG218" s="415"/>
      <c r="AH218" s="416"/>
      <c r="AI218" s="417"/>
      <c r="AJ218" s="412"/>
      <c r="AK218" s="413"/>
      <c r="AL218" s="414"/>
      <c r="AM218" s="414"/>
      <c r="AN218" s="414"/>
      <c r="AO218" s="415"/>
      <c r="AP218" s="416"/>
      <c r="AQ218" s="417"/>
      <c r="AR218" s="412"/>
      <c r="AS218" s="413"/>
      <c r="AT218" s="414"/>
      <c r="AU218" s="414"/>
      <c r="AV218" s="414"/>
      <c r="AW218" s="415"/>
      <c r="AX218" s="416"/>
      <c r="AY218" s="417"/>
      <c r="AZ218" s="412"/>
      <c r="BA218" s="413"/>
      <c r="BB218" s="414"/>
      <c r="BC218" s="414"/>
      <c r="BD218" s="414"/>
      <c r="BE218" s="415"/>
      <c r="BF218" s="416"/>
      <c r="BG218" s="417"/>
      <c r="BH218" s="412"/>
      <c r="BI218" s="413"/>
      <c r="BJ218" s="414"/>
      <c r="BK218" s="414"/>
      <c r="BL218" s="414"/>
      <c r="BM218" s="415"/>
      <c r="BN218" s="416"/>
      <c r="BO218" s="417"/>
      <c r="BP218" s="412"/>
      <c r="BQ218" s="413"/>
      <c r="BR218" s="414"/>
      <c r="BS218" s="414"/>
      <c r="BT218" s="414"/>
      <c r="BU218" s="415"/>
      <c r="BV218" s="416"/>
      <c r="BW218" s="417"/>
      <c r="BX218" s="412"/>
      <c r="BY218" s="413"/>
      <c r="BZ218" s="414"/>
      <c r="CA218" s="414"/>
      <c r="CB218" s="414"/>
      <c r="CC218" s="415"/>
      <c r="CD218" s="416"/>
      <c r="CE218" s="417"/>
      <c r="CF218" s="412"/>
      <c r="CG218" s="413"/>
      <c r="CH218" s="414"/>
      <c r="CI218" s="414"/>
      <c r="CJ218" s="414"/>
      <c r="CK218" s="415"/>
      <c r="CL218" s="416"/>
      <c r="CM218" s="417"/>
      <c r="CN218" s="412"/>
      <c r="CO218" s="413"/>
      <c r="CP218" s="414"/>
      <c r="CQ218" s="414"/>
      <c r="CR218" s="414"/>
      <c r="CS218" s="415"/>
      <c r="CT218" s="416"/>
      <c r="CU218" s="417"/>
      <c r="CV218" s="412"/>
      <c r="CW218" s="413"/>
      <c r="CX218" s="414"/>
      <c r="CY218" s="414"/>
      <c r="CZ218" s="414"/>
      <c r="DA218" s="415"/>
      <c r="DB218" s="416"/>
      <c r="DC218" s="417"/>
      <c r="DD218" s="412"/>
      <c r="DE218" s="413"/>
      <c r="DF218" s="414"/>
      <c r="DG218" s="414"/>
      <c r="DH218" s="414"/>
      <c r="DI218" s="415"/>
      <c r="DJ218" s="416"/>
      <c r="DK218" s="417"/>
      <c r="DL218" s="412"/>
      <c r="DM218" s="413"/>
      <c r="DN218" s="414"/>
      <c r="DO218" s="414"/>
      <c r="DP218" s="414"/>
      <c r="DQ218" s="415"/>
      <c r="DR218" s="416"/>
      <c r="DS218" s="417"/>
      <c r="DT218" s="412"/>
      <c r="DU218" s="413"/>
      <c r="DV218" s="414"/>
      <c r="DW218" s="414"/>
      <c r="DX218" s="414"/>
      <c r="DY218" s="415"/>
      <c r="DZ218" s="416"/>
      <c r="EA218" s="417"/>
      <c r="EB218" s="412"/>
      <c r="EC218" s="413"/>
      <c r="ED218" s="414"/>
      <c r="EE218" s="414"/>
      <c r="EF218" s="414"/>
      <c r="EG218" s="415"/>
      <c r="EH218" s="416"/>
      <c r="EI218" s="417"/>
      <c r="EJ218" s="412"/>
      <c r="EK218" s="413"/>
      <c r="EL218" s="414"/>
      <c r="EM218" s="414"/>
      <c r="EN218" s="414"/>
      <c r="EO218" s="415"/>
      <c r="EP218" s="416"/>
      <c r="EQ218" s="417"/>
      <c r="ER218" s="412"/>
      <c r="ES218" s="413"/>
      <c r="ET218" s="414"/>
      <c r="EU218" s="414"/>
      <c r="EV218" s="414"/>
      <c r="EW218" s="415"/>
      <c r="EX218" s="416"/>
      <c r="EY218" s="417"/>
      <c r="EZ218" s="412"/>
      <c r="FA218" s="413"/>
      <c r="FB218" s="414"/>
      <c r="FC218" s="414"/>
      <c r="FD218" s="414"/>
      <c r="FE218" s="415"/>
      <c r="FF218" s="416"/>
      <c r="FG218" s="417"/>
      <c r="FH218" s="412"/>
      <c r="FI218" s="413"/>
      <c r="FJ218" s="414"/>
      <c r="FK218" s="414"/>
      <c r="FL218" s="414"/>
      <c r="FM218" s="415"/>
      <c r="FN218" s="416"/>
      <c r="FO218" s="417"/>
      <c r="FP218" s="412"/>
      <c r="FQ218" s="413"/>
      <c r="FR218" s="414"/>
      <c r="FS218" s="414"/>
      <c r="FT218" s="414"/>
      <c r="FU218" s="415"/>
      <c r="FV218" s="416"/>
      <c r="FW218" s="417"/>
      <c r="FX218" s="412"/>
      <c r="FY218" s="413"/>
      <c r="FZ218" s="414"/>
      <c r="GA218" s="414"/>
      <c r="GB218" s="414"/>
      <c r="GC218" s="415"/>
      <c r="GD218" s="416"/>
      <c r="GE218" s="417"/>
      <c r="GF218" s="412"/>
      <c r="GG218" s="413"/>
      <c r="GH218" s="414"/>
      <c r="GI218" s="414"/>
      <c r="GJ218" s="414"/>
      <c r="GK218" s="415"/>
      <c r="GL218" s="416"/>
      <c r="GM218" s="417"/>
      <c r="GN218" s="412"/>
      <c r="GO218" s="413"/>
      <c r="GP218" s="414"/>
      <c r="GQ218" s="414"/>
      <c r="GR218" s="414"/>
      <c r="GS218" s="415"/>
      <c r="GT218" s="416"/>
      <c r="GU218" s="417"/>
      <c r="GV218" s="412"/>
      <c r="GW218" s="413"/>
      <c r="GX218" s="414"/>
      <c r="GY218" s="414"/>
      <c r="GZ218" s="414"/>
      <c r="HA218" s="415"/>
      <c r="HB218" s="416"/>
      <c r="HC218" s="417"/>
      <c r="HD218" s="412"/>
      <c r="HE218" s="413"/>
      <c r="HF218" s="414"/>
      <c r="HG218" s="414"/>
      <c r="HH218" s="414"/>
      <c r="HI218" s="415"/>
      <c r="HJ218" s="416"/>
      <c r="HK218" s="417"/>
      <c r="HL218" s="412"/>
      <c r="HM218" s="413"/>
      <c r="HN218" s="414"/>
      <c r="HO218" s="414"/>
      <c r="HP218" s="414"/>
      <c r="HQ218" s="415"/>
      <c r="HR218" s="416"/>
      <c r="HS218" s="417"/>
      <c r="HT218" s="412"/>
      <c r="HU218" s="413"/>
      <c r="HV218" s="414"/>
      <c r="HW218" s="414"/>
      <c r="HX218" s="414"/>
      <c r="HY218" s="415"/>
      <c r="HZ218" s="416"/>
      <c r="IA218" s="417"/>
      <c r="IB218" s="412"/>
      <c r="IC218" s="413"/>
      <c r="ID218" s="414"/>
      <c r="IE218" s="414"/>
      <c r="IF218" s="414"/>
      <c r="IG218" s="415"/>
      <c r="IH218" s="416"/>
      <c r="II218" s="417"/>
      <c r="IJ218" s="412"/>
      <c r="IK218" s="413"/>
      <c r="IL218" s="414"/>
      <c r="IM218" s="414"/>
      <c r="IN218" s="414"/>
      <c r="IO218" s="415"/>
      <c r="IP218" s="416"/>
      <c r="IQ218" s="417"/>
      <c r="IR218" s="412"/>
      <c r="IS218" s="413"/>
      <c r="IT218" s="414"/>
      <c r="IU218" s="414"/>
      <c r="IV218" s="414"/>
    </row>
    <row r="219" spans="1:256" ht="6.75" customHeight="1">
      <c r="A219" s="589"/>
      <c r="B219" s="590"/>
      <c r="C219" s="407"/>
      <c r="D219" s="407"/>
      <c r="E219" s="407"/>
      <c r="F219" s="407"/>
      <c r="G219" s="407"/>
      <c r="H219" s="407"/>
      <c r="I219" s="467"/>
      <c r="J219" s="458"/>
      <c r="K219" s="458"/>
      <c r="L219" s="459"/>
      <c r="M219" s="457"/>
      <c r="N219" s="457"/>
      <c r="O219" s="457"/>
      <c r="P219" s="457"/>
      <c r="Q219" s="419" t="s">
        <v>159</v>
      </c>
      <c r="R219" s="419"/>
      <c r="S219" s="420"/>
      <c r="T219" s="421"/>
      <c r="U219" s="413"/>
      <c r="V219" s="414"/>
      <c r="W219" s="414"/>
      <c r="X219" s="414"/>
      <c r="Y219" s="418" t="s">
        <v>159</v>
      </c>
      <c r="Z219" s="419"/>
      <c r="AA219" s="420"/>
      <c r="AB219" s="421"/>
      <c r="AC219" s="413"/>
      <c r="AD219" s="414"/>
      <c r="AE219" s="414"/>
      <c r="AF219" s="414"/>
      <c r="AG219" s="418" t="s">
        <v>159</v>
      </c>
      <c r="AH219" s="419"/>
      <c r="AI219" s="420"/>
      <c r="AJ219" s="421"/>
      <c r="AK219" s="413"/>
      <c r="AL219" s="414"/>
      <c r="AM219" s="414"/>
      <c r="AN219" s="414"/>
      <c r="AO219" s="418" t="s">
        <v>159</v>
      </c>
      <c r="AP219" s="419"/>
      <c r="AQ219" s="420"/>
      <c r="AR219" s="421"/>
      <c r="AS219" s="413"/>
      <c r="AT219" s="414"/>
      <c r="AU219" s="414"/>
      <c r="AV219" s="414"/>
      <c r="AW219" s="418" t="s">
        <v>159</v>
      </c>
      <c r="AX219" s="419"/>
      <c r="AY219" s="420"/>
      <c r="AZ219" s="421"/>
      <c r="BA219" s="413"/>
      <c r="BB219" s="414"/>
      <c r="BC219" s="414"/>
      <c r="BD219" s="414"/>
      <c r="BE219" s="418" t="s">
        <v>159</v>
      </c>
      <c r="BF219" s="419"/>
      <c r="BG219" s="420"/>
      <c r="BH219" s="421"/>
      <c r="BI219" s="413"/>
      <c r="BJ219" s="414"/>
      <c r="BK219" s="414"/>
      <c r="BL219" s="414"/>
      <c r="BM219" s="418" t="s">
        <v>159</v>
      </c>
      <c r="BN219" s="419"/>
      <c r="BO219" s="420"/>
      <c r="BP219" s="421"/>
      <c r="BQ219" s="413"/>
      <c r="BR219" s="414"/>
      <c r="BS219" s="414"/>
      <c r="BT219" s="414"/>
      <c r="BU219" s="418" t="s">
        <v>159</v>
      </c>
      <c r="BV219" s="419"/>
      <c r="BW219" s="420"/>
      <c r="BX219" s="421"/>
      <c r="BY219" s="413"/>
      <c r="BZ219" s="414"/>
      <c r="CA219" s="414"/>
      <c r="CB219" s="414"/>
      <c r="CC219" s="418" t="s">
        <v>159</v>
      </c>
      <c r="CD219" s="419"/>
      <c r="CE219" s="420"/>
      <c r="CF219" s="421"/>
      <c r="CG219" s="413"/>
      <c r="CH219" s="414"/>
      <c r="CI219" s="414"/>
      <c r="CJ219" s="414"/>
      <c r="CK219" s="418" t="s">
        <v>159</v>
      </c>
      <c r="CL219" s="419"/>
      <c r="CM219" s="420"/>
      <c r="CN219" s="421"/>
      <c r="CO219" s="413"/>
      <c r="CP219" s="414"/>
      <c r="CQ219" s="414"/>
      <c r="CR219" s="414"/>
      <c r="CS219" s="418" t="s">
        <v>159</v>
      </c>
      <c r="CT219" s="419"/>
      <c r="CU219" s="420"/>
      <c r="CV219" s="421"/>
      <c r="CW219" s="413"/>
      <c r="CX219" s="414"/>
      <c r="CY219" s="414"/>
      <c r="CZ219" s="414"/>
      <c r="DA219" s="418" t="s">
        <v>159</v>
      </c>
      <c r="DB219" s="419"/>
      <c r="DC219" s="420"/>
      <c r="DD219" s="421"/>
      <c r="DE219" s="413"/>
      <c r="DF219" s="414"/>
      <c r="DG219" s="414"/>
      <c r="DH219" s="414"/>
      <c r="DI219" s="418" t="s">
        <v>159</v>
      </c>
      <c r="DJ219" s="419"/>
      <c r="DK219" s="420"/>
      <c r="DL219" s="421"/>
      <c r="DM219" s="413"/>
      <c r="DN219" s="414"/>
      <c r="DO219" s="414"/>
      <c r="DP219" s="414"/>
      <c r="DQ219" s="418" t="s">
        <v>159</v>
      </c>
      <c r="DR219" s="419"/>
      <c r="DS219" s="420"/>
      <c r="DT219" s="421"/>
      <c r="DU219" s="413"/>
      <c r="DV219" s="414"/>
      <c r="DW219" s="414"/>
      <c r="DX219" s="414"/>
      <c r="DY219" s="418" t="s">
        <v>159</v>
      </c>
      <c r="DZ219" s="419"/>
      <c r="EA219" s="420"/>
      <c r="EB219" s="421"/>
      <c r="EC219" s="413"/>
      <c r="ED219" s="414"/>
      <c r="EE219" s="414"/>
      <c r="EF219" s="414"/>
      <c r="EG219" s="418" t="s">
        <v>159</v>
      </c>
      <c r="EH219" s="419"/>
      <c r="EI219" s="420"/>
      <c r="EJ219" s="421"/>
      <c r="EK219" s="413"/>
      <c r="EL219" s="414"/>
      <c r="EM219" s="414"/>
      <c r="EN219" s="414"/>
      <c r="EO219" s="418" t="s">
        <v>159</v>
      </c>
      <c r="EP219" s="419"/>
      <c r="EQ219" s="420"/>
      <c r="ER219" s="421"/>
      <c r="ES219" s="413"/>
      <c r="ET219" s="414"/>
      <c r="EU219" s="414"/>
      <c r="EV219" s="414"/>
      <c r="EW219" s="418" t="s">
        <v>159</v>
      </c>
      <c r="EX219" s="419"/>
      <c r="EY219" s="420"/>
      <c r="EZ219" s="421"/>
      <c r="FA219" s="413"/>
      <c r="FB219" s="414"/>
      <c r="FC219" s="414"/>
      <c r="FD219" s="414"/>
      <c r="FE219" s="418" t="s">
        <v>159</v>
      </c>
      <c r="FF219" s="419"/>
      <c r="FG219" s="420"/>
      <c r="FH219" s="421"/>
      <c r="FI219" s="413"/>
      <c r="FJ219" s="414"/>
      <c r="FK219" s="414"/>
      <c r="FL219" s="414"/>
      <c r="FM219" s="418" t="s">
        <v>159</v>
      </c>
      <c r="FN219" s="419"/>
      <c r="FO219" s="420"/>
      <c r="FP219" s="421"/>
      <c r="FQ219" s="413"/>
      <c r="FR219" s="414"/>
      <c r="FS219" s="414"/>
      <c r="FT219" s="414"/>
      <c r="FU219" s="418" t="s">
        <v>159</v>
      </c>
      <c r="FV219" s="419"/>
      <c r="FW219" s="420"/>
      <c r="FX219" s="421"/>
      <c r="FY219" s="413"/>
      <c r="FZ219" s="414"/>
      <c r="GA219" s="414"/>
      <c r="GB219" s="414"/>
      <c r="GC219" s="418" t="s">
        <v>159</v>
      </c>
      <c r="GD219" s="419"/>
      <c r="GE219" s="420"/>
      <c r="GF219" s="421"/>
      <c r="GG219" s="413"/>
      <c r="GH219" s="414"/>
      <c r="GI219" s="414"/>
      <c r="GJ219" s="414"/>
      <c r="GK219" s="418" t="s">
        <v>159</v>
      </c>
      <c r="GL219" s="419"/>
      <c r="GM219" s="420"/>
      <c r="GN219" s="421"/>
      <c r="GO219" s="413"/>
      <c r="GP219" s="414"/>
      <c r="GQ219" s="414"/>
      <c r="GR219" s="414"/>
      <c r="GS219" s="418" t="s">
        <v>159</v>
      </c>
      <c r="GT219" s="419"/>
      <c r="GU219" s="420"/>
      <c r="GV219" s="421"/>
      <c r="GW219" s="413"/>
      <c r="GX219" s="414"/>
      <c r="GY219" s="414"/>
      <c r="GZ219" s="414"/>
      <c r="HA219" s="418" t="s">
        <v>159</v>
      </c>
      <c r="HB219" s="419"/>
      <c r="HC219" s="420"/>
      <c r="HD219" s="421"/>
      <c r="HE219" s="413"/>
      <c r="HF219" s="414"/>
      <c r="HG219" s="414"/>
      <c r="HH219" s="414"/>
      <c r="HI219" s="418" t="s">
        <v>159</v>
      </c>
      <c r="HJ219" s="419"/>
      <c r="HK219" s="420"/>
      <c r="HL219" s="421"/>
      <c r="HM219" s="413"/>
      <c r="HN219" s="414"/>
      <c r="HO219" s="414"/>
      <c r="HP219" s="414"/>
      <c r="HQ219" s="418" t="s">
        <v>159</v>
      </c>
      <c r="HR219" s="419"/>
      <c r="HS219" s="420"/>
      <c r="HT219" s="421"/>
      <c r="HU219" s="413"/>
      <c r="HV219" s="414"/>
      <c r="HW219" s="414"/>
      <c r="HX219" s="414"/>
      <c r="HY219" s="418" t="s">
        <v>159</v>
      </c>
      <c r="HZ219" s="419"/>
      <c r="IA219" s="420"/>
      <c r="IB219" s="421"/>
      <c r="IC219" s="413"/>
      <c r="ID219" s="414"/>
      <c r="IE219" s="414"/>
      <c r="IF219" s="414"/>
      <c r="IG219" s="418" t="s">
        <v>159</v>
      </c>
      <c r="IH219" s="419"/>
      <c r="II219" s="420"/>
      <c r="IJ219" s="421"/>
      <c r="IK219" s="413"/>
      <c r="IL219" s="414"/>
      <c r="IM219" s="414"/>
      <c r="IN219" s="414"/>
      <c r="IO219" s="418" t="s">
        <v>159</v>
      </c>
      <c r="IP219" s="419"/>
      <c r="IQ219" s="420"/>
      <c r="IR219" s="421"/>
      <c r="IS219" s="413"/>
      <c r="IT219" s="414"/>
      <c r="IU219" s="414"/>
      <c r="IV219" s="414"/>
    </row>
    <row r="220" spans="1:256" ht="12.75">
      <c r="A220" s="355" t="s">
        <v>247</v>
      </c>
      <c r="B220" s="355"/>
      <c r="C220" s="353" t="s">
        <v>190</v>
      </c>
      <c r="D220" s="353"/>
      <c r="E220" s="588">
        <v>0</v>
      </c>
      <c r="F220" s="588"/>
      <c r="G220" s="345">
        <v>0</v>
      </c>
      <c r="H220" s="346"/>
      <c r="I220" s="337"/>
      <c r="J220" s="455"/>
      <c r="K220" s="455"/>
      <c r="L220" s="459"/>
      <c r="M220" s="457"/>
      <c r="N220" s="457"/>
      <c r="O220" s="457"/>
      <c r="P220" s="457"/>
      <c r="Q220" s="417"/>
      <c r="R220" s="411"/>
      <c r="S220" s="411"/>
      <c r="T220" s="421"/>
      <c r="U220" s="413"/>
      <c r="V220" s="414"/>
      <c r="W220" s="414"/>
      <c r="X220" s="414"/>
      <c r="Y220" s="411"/>
      <c r="Z220" s="411"/>
      <c r="AA220" s="411"/>
      <c r="AB220" s="421"/>
      <c r="AC220" s="413"/>
      <c r="AD220" s="414"/>
      <c r="AE220" s="414"/>
      <c r="AF220" s="414"/>
      <c r="AG220" s="411"/>
      <c r="AH220" s="411"/>
      <c r="AI220" s="411"/>
      <c r="AJ220" s="421"/>
      <c r="AK220" s="413"/>
      <c r="AL220" s="414"/>
      <c r="AM220" s="414"/>
      <c r="AN220" s="414"/>
      <c r="AO220" s="411"/>
      <c r="AP220" s="411"/>
      <c r="AQ220" s="411"/>
      <c r="AR220" s="421"/>
      <c r="AS220" s="413"/>
      <c r="AT220" s="414"/>
      <c r="AU220" s="414"/>
      <c r="AV220" s="414"/>
      <c r="AW220" s="411"/>
      <c r="AX220" s="411"/>
      <c r="AY220" s="411"/>
      <c r="AZ220" s="421"/>
      <c r="BA220" s="413"/>
      <c r="BB220" s="414"/>
      <c r="BC220" s="414"/>
      <c r="BD220" s="414"/>
      <c r="BE220" s="411"/>
      <c r="BF220" s="411"/>
      <c r="BG220" s="411"/>
      <c r="BH220" s="421"/>
      <c r="BI220" s="413"/>
      <c r="BJ220" s="414"/>
      <c r="BK220" s="414"/>
      <c r="BL220" s="414"/>
      <c r="BM220" s="411"/>
      <c r="BN220" s="411"/>
      <c r="BO220" s="411"/>
      <c r="BP220" s="421"/>
      <c r="BQ220" s="413"/>
      <c r="BR220" s="414"/>
      <c r="BS220" s="414"/>
      <c r="BT220" s="414"/>
      <c r="BU220" s="411"/>
      <c r="BV220" s="411"/>
      <c r="BW220" s="411"/>
      <c r="BX220" s="421"/>
      <c r="BY220" s="413"/>
      <c r="BZ220" s="414"/>
      <c r="CA220" s="414"/>
      <c r="CB220" s="414"/>
      <c r="CC220" s="411"/>
      <c r="CD220" s="411"/>
      <c r="CE220" s="411"/>
      <c r="CF220" s="421"/>
      <c r="CG220" s="413"/>
      <c r="CH220" s="414"/>
      <c r="CI220" s="414"/>
      <c r="CJ220" s="414"/>
      <c r="CK220" s="411"/>
      <c r="CL220" s="411"/>
      <c r="CM220" s="411"/>
      <c r="CN220" s="421"/>
      <c r="CO220" s="413"/>
      <c r="CP220" s="414"/>
      <c r="CQ220" s="414"/>
      <c r="CR220" s="414"/>
      <c r="CS220" s="411"/>
      <c r="CT220" s="411"/>
      <c r="CU220" s="411"/>
      <c r="CV220" s="421"/>
      <c r="CW220" s="413"/>
      <c r="CX220" s="414"/>
      <c r="CY220" s="414"/>
      <c r="CZ220" s="414"/>
      <c r="DA220" s="411"/>
      <c r="DB220" s="411"/>
      <c r="DC220" s="411"/>
      <c r="DD220" s="421"/>
      <c r="DE220" s="413"/>
      <c r="DF220" s="414"/>
      <c r="DG220" s="414"/>
      <c r="DH220" s="414"/>
      <c r="DI220" s="411"/>
      <c r="DJ220" s="411"/>
      <c r="DK220" s="411"/>
      <c r="DL220" s="421"/>
      <c r="DM220" s="413"/>
      <c r="DN220" s="414"/>
      <c r="DO220" s="414"/>
      <c r="DP220" s="414"/>
      <c r="DQ220" s="411"/>
      <c r="DR220" s="411"/>
      <c r="DS220" s="411"/>
      <c r="DT220" s="421"/>
      <c r="DU220" s="413"/>
      <c r="DV220" s="414"/>
      <c r="DW220" s="414"/>
      <c r="DX220" s="414"/>
      <c r="DY220" s="411"/>
      <c r="DZ220" s="411"/>
      <c r="EA220" s="411"/>
      <c r="EB220" s="421"/>
      <c r="EC220" s="413"/>
      <c r="ED220" s="414"/>
      <c r="EE220" s="414"/>
      <c r="EF220" s="414"/>
      <c r="EG220" s="411"/>
      <c r="EH220" s="411"/>
      <c r="EI220" s="411"/>
      <c r="EJ220" s="421"/>
      <c r="EK220" s="413"/>
      <c r="EL220" s="414"/>
      <c r="EM220" s="414"/>
      <c r="EN220" s="414"/>
      <c r="EO220" s="411"/>
      <c r="EP220" s="411"/>
      <c r="EQ220" s="411"/>
      <c r="ER220" s="421"/>
      <c r="ES220" s="413"/>
      <c r="ET220" s="414"/>
      <c r="EU220" s="414"/>
      <c r="EV220" s="414"/>
      <c r="EW220" s="411"/>
      <c r="EX220" s="411"/>
      <c r="EY220" s="411"/>
      <c r="EZ220" s="421"/>
      <c r="FA220" s="413"/>
      <c r="FB220" s="414"/>
      <c r="FC220" s="414"/>
      <c r="FD220" s="414"/>
      <c r="FE220" s="411"/>
      <c r="FF220" s="411"/>
      <c r="FG220" s="411"/>
      <c r="FH220" s="421"/>
      <c r="FI220" s="413"/>
      <c r="FJ220" s="414"/>
      <c r="FK220" s="414"/>
      <c r="FL220" s="414"/>
      <c r="FM220" s="411"/>
      <c r="FN220" s="411"/>
      <c r="FO220" s="411"/>
      <c r="FP220" s="421"/>
      <c r="FQ220" s="413"/>
      <c r="FR220" s="414"/>
      <c r="FS220" s="414"/>
      <c r="FT220" s="414"/>
      <c r="FU220" s="411"/>
      <c r="FV220" s="411"/>
      <c r="FW220" s="411"/>
      <c r="FX220" s="421"/>
      <c r="FY220" s="413"/>
      <c r="FZ220" s="414"/>
      <c r="GA220" s="414"/>
      <c r="GB220" s="414"/>
      <c r="GC220" s="411"/>
      <c r="GD220" s="411"/>
      <c r="GE220" s="411"/>
      <c r="GF220" s="421"/>
      <c r="GG220" s="413"/>
      <c r="GH220" s="414"/>
      <c r="GI220" s="414"/>
      <c r="GJ220" s="414"/>
      <c r="GK220" s="411"/>
      <c r="GL220" s="411"/>
      <c r="GM220" s="411"/>
      <c r="GN220" s="421"/>
      <c r="GO220" s="413"/>
      <c r="GP220" s="414"/>
      <c r="GQ220" s="414"/>
      <c r="GR220" s="414"/>
      <c r="GS220" s="411"/>
      <c r="GT220" s="411"/>
      <c r="GU220" s="411"/>
      <c r="GV220" s="421"/>
      <c r="GW220" s="413"/>
      <c r="GX220" s="414"/>
      <c r="GY220" s="414"/>
      <c r="GZ220" s="414"/>
      <c r="HA220" s="411"/>
      <c r="HB220" s="411"/>
      <c r="HC220" s="411"/>
      <c r="HD220" s="421"/>
      <c r="HE220" s="413"/>
      <c r="HF220" s="414"/>
      <c r="HG220" s="414"/>
      <c r="HH220" s="414"/>
      <c r="HI220" s="411"/>
      <c r="HJ220" s="411"/>
      <c r="HK220" s="411"/>
      <c r="HL220" s="421"/>
      <c r="HM220" s="413"/>
      <c r="HN220" s="414"/>
      <c r="HO220" s="414"/>
      <c r="HP220" s="414"/>
      <c r="HQ220" s="411"/>
      <c r="HR220" s="411"/>
      <c r="HS220" s="411"/>
      <c r="HT220" s="421"/>
      <c r="HU220" s="413"/>
      <c r="HV220" s="414"/>
      <c r="HW220" s="414"/>
      <c r="HX220" s="414"/>
      <c r="HY220" s="411"/>
      <c r="HZ220" s="411"/>
      <c r="IA220" s="411"/>
      <c r="IB220" s="421"/>
      <c r="IC220" s="413"/>
      <c r="ID220" s="414"/>
      <c r="IE220" s="414"/>
      <c r="IF220" s="414"/>
      <c r="IG220" s="411"/>
      <c r="IH220" s="411"/>
      <c r="II220" s="411"/>
      <c r="IJ220" s="421"/>
      <c r="IK220" s="413"/>
      <c r="IL220" s="414"/>
      <c r="IM220" s="414"/>
      <c r="IN220" s="414"/>
      <c r="IO220" s="411"/>
      <c r="IP220" s="411"/>
      <c r="IQ220" s="411"/>
      <c r="IR220" s="421"/>
      <c r="IS220" s="413"/>
      <c r="IT220" s="414"/>
      <c r="IU220" s="414"/>
      <c r="IV220" s="414"/>
    </row>
    <row r="221" spans="1:256" ht="12.75">
      <c r="A221" s="368" t="s">
        <v>234</v>
      </c>
      <c r="B221" s="368"/>
      <c r="C221" s="356" t="s">
        <v>191</v>
      </c>
      <c r="D221" s="356"/>
      <c r="E221" s="342">
        <v>0</v>
      </c>
      <c r="F221" s="343"/>
      <c r="G221" s="345">
        <v>0</v>
      </c>
      <c r="H221" s="359"/>
      <c r="I221" s="337"/>
      <c r="J221" s="455"/>
      <c r="K221" s="455"/>
      <c r="L221" s="459"/>
      <c r="M221" s="457"/>
      <c r="N221" s="457"/>
      <c r="O221" s="457"/>
      <c r="P221" s="457"/>
      <c r="Q221" s="417"/>
      <c r="R221" s="411"/>
      <c r="S221" s="411"/>
      <c r="T221" s="421"/>
      <c r="U221" s="413"/>
      <c r="V221" s="414"/>
      <c r="W221" s="414"/>
      <c r="X221" s="414"/>
      <c r="Y221" s="411"/>
      <c r="Z221" s="411"/>
      <c r="AA221" s="411"/>
      <c r="AB221" s="421"/>
      <c r="AC221" s="413"/>
      <c r="AD221" s="414"/>
      <c r="AE221" s="414"/>
      <c r="AF221" s="414"/>
      <c r="AG221" s="411"/>
      <c r="AH221" s="411"/>
      <c r="AI221" s="411"/>
      <c r="AJ221" s="421"/>
      <c r="AK221" s="413"/>
      <c r="AL221" s="414"/>
      <c r="AM221" s="414"/>
      <c r="AN221" s="414"/>
      <c r="AO221" s="411"/>
      <c r="AP221" s="411"/>
      <c r="AQ221" s="411"/>
      <c r="AR221" s="421"/>
      <c r="AS221" s="413"/>
      <c r="AT221" s="414"/>
      <c r="AU221" s="414"/>
      <c r="AV221" s="414"/>
      <c r="AW221" s="411"/>
      <c r="AX221" s="411"/>
      <c r="AY221" s="411"/>
      <c r="AZ221" s="421"/>
      <c r="BA221" s="413"/>
      <c r="BB221" s="414"/>
      <c r="BC221" s="414"/>
      <c r="BD221" s="414"/>
      <c r="BE221" s="411"/>
      <c r="BF221" s="411"/>
      <c r="BG221" s="411"/>
      <c r="BH221" s="421"/>
      <c r="BI221" s="413"/>
      <c r="BJ221" s="414"/>
      <c r="BK221" s="414"/>
      <c r="BL221" s="414"/>
      <c r="BM221" s="411"/>
      <c r="BN221" s="411"/>
      <c r="BO221" s="411"/>
      <c r="BP221" s="421"/>
      <c r="BQ221" s="413"/>
      <c r="BR221" s="414"/>
      <c r="BS221" s="414"/>
      <c r="BT221" s="414"/>
      <c r="BU221" s="411"/>
      <c r="BV221" s="411"/>
      <c r="BW221" s="411"/>
      <c r="BX221" s="421"/>
      <c r="BY221" s="413"/>
      <c r="BZ221" s="414"/>
      <c r="CA221" s="414"/>
      <c r="CB221" s="414"/>
      <c r="CC221" s="411"/>
      <c r="CD221" s="411"/>
      <c r="CE221" s="411"/>
      <c r="CF221" s="421"/>
      <c r="CG221" s="413"/>
      <c r="CH221" s="414"/>
      <c r="CI221" s="414"/>
      <c r="CJ221" s="414"/>
      <c r="CK221" s="411"/>
      <c r="CL221" s="411"/>
      <c r="CM221" s="411"/>
      <c r="CN221" s="421"/>
      <c r="CO221" s="413"/>
      <c r="CP221" s="414"/>
      <c r="CQ221" s="414"/>
      <c r="CR221" s="414"/>
      <c r="CS221" s="411"/>
      <c r="CT221" s="411"/>
      <c r="CU221" s="411"/>
      <c r="CV221" s="421"/>
      <c r="CW221" s="413"/>
      <c r="CX221" s="414"/>
      <c r="CY221" s="414"/>
      <c r="CZ221" s="414"/>
      <c r="DA221" s="411"/>
      <c r="DB221" s="411"/>
      <c r="DC221" s="411"/>
      <c r="DD221" s="421"/>
      <c r="DE221" s="413"/>
      <c r="DF221" s="414"/>
      <c r="DG221" s="414"/>
      <c r="DH221" s="414"/>
      <c r="DI221" s="411"/>
      <c r="DJ221" s="411"/>
      <c r="DK221" s="411"/>
      <c r="DL221" s="421"/>
      <c r="DM221" s="413"/>
      <c r="DN221" s="414"/>
      <c r="DO221" s="414"/>
      <c r="DP221" s="414"/>
      <c r="DQ221" s="411"/>
      <c r="DR221" s="411"/>
      <c r="DS221" s="411"/>
      <c r="DT221" s="421"/>
      <c r="DU221" s="413"/>
      <c r="DV221" s="414"/>
      <c r="DW221" s="414"/>
      <c r="DX221" s="414"/>
      <c r="DY221" s="411"/>
      <c r="DZ221" s="411"/>
      <c r="EA221" s="411"/>
      <c r="EB221" s="421"/>
      <c r="EC221" s="413"/>
      <c r="ED221" s="414"/>
      <c r="EE221" s="414"/>
      <c r="EF221" s="414"/>
      <c r="EG221" s="411"/>
      <c r="EH221" s="411"/>
      <c r="EI221" s="411"/>
      <c r="EJ221" s="421"/>
      <c r="EK221" s="413"/>
      <c r="EL221" s="414"/>
      <c r="EM221" s="414"/>
      <c r="EN221" s="414"/>
      <c r="EO221" s="411"/>
      <c r="EP221" s="411"/>
      <c r="EQ221" s="411"/>
      <c r="ER221" s="421"/>
      <c r="ES221" s="413"/>
      <c r="ET221" s="414"/>
      <c r="EU221" s="414"/>
      <c r="EV221" s="414"/>
      <c r="EW221" s="411"/>
      <c r="EX221" s="411"/>
      <c r="EY221" s="411"/>
      <c r="EZ221" s="421"/>
      <c r="FA221" s="413"/>
      <c r="FB221" s="414"/>
      <c r="FC221" s="414"/>
      <c r="FD221" s="414"/>
      <c r="FE221" s="411"/>
      <c r="FF221" s="411"/>
      <c r="FG221" s="411"/>
      <c r="FH221" s="421"/>
      <c r="FI221" s="413"/>
      <c r="FJ221" s="414"/>
      <c r="FK221" s="414"/>
      <c r="FL221" s="414"/>
      <c r="FM221" s="411"/>
      <c r="FN221" s="411"/>
      <c r="FO221" s="411"/>
      <c r="FP221" s="421"/>
      <c r="FQ221" s="413"/>
      <c r="FR221" s="414"/>
      <c r="FS221" s="414"/>
      <c r="FT221" s="414"/>
      <c r="FU221" s="411"/>
      <c r="FV221" s="411"/>
      <c r="FW221" s="411"/>
      <c r="FX221" s="421"/>
      <c r="FY221" s="413"/>
      <c r="FZ221" s="414"/>
      <c r="GA221" s="414"/>
      <c r="GB221" s="414"/>
      <c r="GC221" s="411"/>
      <c r="GD221" s="411"/>
      <c r="GE221" s="411"/>
      <c r="GF221" s="421"/>
      <c r="GG221" s="413"/>
      <c r="GH221" s="414"/>
      <c r="GI221" s="414"/>
      <c r="GJ221" s="414"/>
      <c r="GK221" s="411"/>
      <c r="GL221" s="411"/>
      <c r="GM221" s="411"/>
      <c r="GN221" s="421"/>
      <c r="GO221" s="413"/>
      <c r="GP221" s="414"/>
      <c r="GQ221" s="414"/>
      <c r="GR221" s="414"/>
      <c r="GS221" s="411"/>
      <c r="GT221" s="411"/>
      <c r="GU221" s="411"/>
      <c r="GV221" s="421"/>
      <c r="GW221" s="413"/>
      <c r="GX221" s="414"/>
      <c r="GY221" s="414"/>
      <c r="GZ221" s="414"/>
      <c r="HA221" s="411"/>
      <c r="HB221" s="411"/>
      <c r="HC221" s="411"/>
      <c r="HD221" s="421"/>
      <c r="HE221" s="413"/>
      <c r="HF221" s="414"/>
      <c r="HG221" s="414"/>
      <c r="HH221" s="414"/>
      <c r="HI221" s="411"/>
      <c r="HJ221" s="411"/>
      <c r="HK221" s="411"/>
      <c r="HL221" s="421"/>
      <c r="HM221" s="413"/>
      <c r="HN221" s="414"/>
      <c r="HO221" s="414"/>
      <c r="HP221" s="414"/>
      <c r="HQ221" s="411"/>
      <c r="HR221" s="411"/>
      <c r="HS221" s="411"/>
      <c r="HT221" s="421"/>
      <c r="HU221" s="413"/>
      <c r="HV221" s="414"/>
      <c r="HW221" s="414"/>
      <c r="HX221" s="414"/>
      <c r="HY221" s="411"/>
      <c r="HZ221" s="411"/>
      <c r="IA221" s="411"/>
      <c r="IB221" s="421"/>
      <c r="IC221" s="413"/>
      <c r="ID221" s="414"/>
      <c r="IE221" s="414"/>
      <c r="IF221" s="414"/>
      <c r="IG221" s="411"/>
      <c r="IH221" s="411"/>
      <c r="II221" s="411"/>
      <c r="IJ221" s="421"/>
      <c r="IK221" s="413"/>
      <c r="IL221" s="414"/>
      <c r="IM221" s="414"/>
      <c r="IN221" s="414"/>
      <c r="IO221" s="411"/>
      <c r="IP221" s="411"/>
      <c r="IQ221" s="411"/>
      <c r="IR221" s="421"/>
      <c r="IS221" s="413"/>
      <c r="IT221" s="414"/>
      <c r="IU221" s="414"/>
      <c r="IV221" s="414"/>
    </row>
    <row r="222" spans="1:256" ht="12.75">
      <c r="A222" s="362" t="s">
        <v>134</v>
      </c>
      <c r="B222" s="363"/>
      <c r="C222" s="364"/>
      <c r="D222" s="364"/>
      <c r="E222" s="364"/>
      <c r="F222" s="365"/>
      <c r="G222" s="357">
        <f>SUM(G220+G221)</f>
        <v>0</v>
      </c>
      <c r="H222" s="358"/>
      <c r="I222" s="340"/>
      <c r="J222" s="455"/>
      <c r="K222" s="455"/>
      <c r="L222" s="459"/>
      <c r="M222" s="457"/>
      <c r="N222" s="457"/>
      <c r="O222" s="457"/>
      <c r="P222" s="457"/>
      <c r="Q222" s="417"/>
      <c r="R222" s="411"/>
      <c r="S222" s="411"/>
      <c r="T222" s="421"/>
      <c r="U222" s="413"/>
      <c r="V222" s="414"/>
      <c r="W222" s="414"/>
      <c r="X222" s="414"/>
      <c r="Y222" s="411"/>
      <c r="Z222" s="411"/>
      <c r="AA222" s="411"/>
      <c r="AB222" s="421"/>
      <c r="AC222" s="413"/>
      <c r="AD222" s="414"/>
      <c r="AE222" s="414"/>
      <c r="AF222" s="414"/>
      <c r="AG222" s="411"/>
      <c r="AH222" s="411"/>
      <c r="AI222" s="411"/>
      <c r="AJ222" s="421"/>
      <c r="AK222" s="413"/>
      <c r="AL222" s="414"/>
      <c r="AM222" s="414"/>
      <c r="AN222" s="414"/>
      <c r="AO222" s="411"/>
      <c r="AP222" s="411"/>
      <c r="AQ222" s="411"/>
      <c r="AR222" s="421"/>
      <c r="AS222" s="413"/>
      <c r="AT222" s="414"/>
      <c r="AU222" s="414"/>
      <c r="AV222" s="414"/>
      <c r="AW222" s="411"/>
      <c r="AX222" s="411"/>
      <c r="AY222" s="411"/>
      <c r="AZ222" s="421"/>
      <c r="BA222" s="413"/>
      <c r="BB222" s="414"/>
      <c r="BC222" s="414"/>
      <c r="BD222" s="414"/>
      <c r="BE222" s="411"/>
      <c r="BF222" s="411"/>
      <c r="BG222" s="411"/>
      <c r="BH222" s="421"/>
      <c r="BI222" s="413"/>
      <c r="BJ222" s="414"/>
      <c r="BK222" s="414"/>
      <c r="BL222" s="414"/>
      <c r="BM222" s="411"/>
      <c r="BN222" s="411"/>
      <c r="BO222" s="411"/>
      <c r="BP222" s="421"/>
      <c r="BQ222" s="413"/>
      <c r="BR222" s="414"/>
      <c r="BS222" s="414"/>
      <c r="BT222" s="414"/>
      <c r="BU222" s="411"/>
      <c r="BV222" s="411"/>
      <c r="BW222" s="411"/>
      <c r="BX222" s="421"/>
      <c r="BY222" s="413"/>
      <c r="BZ222" s="414"/>
      <c r="CA222" s="414"/>
      <c r="CB222" s="414"/>
      <c r="CC222" s="411"/>
      <c r="CD222" s="411"/>
      <c r="CE222" s="411"/>
      <c r="CF222" s="421"/>
      <c r="CG222" s="413"/>
      <c r="CH222" s="414"/>
      <c r="CI222" s="414"/>
      <c r="CJ222" s="414"/>
      <c r="CK222" s="411"/>
      <c r="CL222" s="411"/>
      <c r="CM222" s="411"/>
      <c r="CN222" s="421"/>
      <c r="CO222" s="413"/>
      <c r="CP222" s="414"/>
      <c r="CQ222" s="414"/>
      <c r="CR222" s="414"/>
      <c r="CS222" s="411"/>
      <c r="CT222" s="411"/>
      <c r="CU222" s="411"/>
      <c r="CV222" s="421"/>
      <c r="CW222" s="413"/>
      <c r="CX222" s="414"/>
      <c r="CY222" s="414"/>
      <c r="CZ222" s="414"/>
      <c r="DA222" s="411"/>
      <c r="DB222" s="411"/>
      <c r="DC222" s="411"/>
      <c r="DD222" s="421"/>
      <c r="DE222" s="413"/>
      <c r="DF222" s="414"/>
      <c r="DG222" s="414"/>
      <c r="DH222" s="414"/>
      <c r="DI222" s="411"/>
      <c r="DJ222" s="411"/>
      <c r="DK222" s="411"/>
      <c r="DL222" s="421"/>
      <c r="DM222" s="413"/>
      <c r="DN222" s="414"/>
      <c r="DO222" s="414"/>
      <c r="DP222" s="414"/>
      <c r="DQ222" s="411"/>
      <c r="DR222" s="411"/>
      <c r="DS222" s="411"/>
      <c r="DT222" s="421"/>
      <c r="DU222" s="413"/>
      <c r="DV222" s="414"/>
      <c r="DW222" s="414"/>
      <c r="DX222" s="414"/>
      <c r="DY222" s="411"/>
      <c r="DZ222" s="411"/>
      <c r="EA222" s="411"/>
      <c r="EB222" s="421"/>
      <c r="EC222" s="413"/>
      <c r="ED222" s="414"/>
      <c r="EE222" s="414"/>
      <c r="EF222" s="414"/>
      <c r="EG222" s="411"/>
      <c r="EH222" s="411"/>
      <c r="EI222" s="411"/>
      <c r="EJ222" s="421"/>
      <c r="EK222" s="413"/>
      <c r="EL222" s="414"/>
      <c r="EM222" s="414"/>
      <c r="EN222" s="414"/>
      <c r="EO222" s="411"/>
      <c r="EP222" s="411"/>
      <c r="EQ222" s="411"/>
      <c r="ER222" s="421"/>
      <c r="ES222" s="413"/>
      <c r="ET222" s="414"/>
      <c r="EU222" s="414"/>
      <c r="EV222" s="414"/>
      <c r="EW222" s="411"/>
      <c r="EX222" s="411"/>
      <c r="EY222" s="411"/>
      <c r="EZ222" s="421"/>
      <c r="FA222" s="413"/>
      <c r="FB222" s="414"/>
      <c r="FC222" s="414"/>
      <c r="FD222" s="414"/>
      <c r="FE222" s="411"/>
      <c r="FF222" s="411"/>
      <c r="FG222" s="411"/>
      <c r="FH222" s="421"/>
      <c r="FI222" s="413"/>
      <c r="FJ222" s="414"/>
      <c r="FK222" s="414"/>
      <c r="FL222" s="414"/>
      <c r="FM222" s="411"/>
      <c r="FN222" s="411"/>
      <c r="FO222" s="411"/>
      <c r="FP222" s="421"/>
      <c r="FQ222" s="413"/>
      <c r="FR222" s="414"/>
      <c r="FS222" s="414"/>
      <c r="FT222" s="414"/>
      <c r="FU222" s="411"/>
      <c r="FV222" s="411"/>
      <c r="FW222" s="411"/>
      <c r="FX222" s="421"/>
      <c r="FY222" s="413"/>
      <c r="FZ222" s="414"/>
      <c r="GA222" s="414"/>
      <c r="GB222" s="414"/>
      <c r="GC222" s="411"/>
      <c r="GD222" s="411"/>
      <c r="GE222" s="411"/>
      <c r="GF222" s="421"/>
      <c r="GG222" s="413"/>
      <c r="GH222" s="414"/>
      <c r="GI222" s="414"/>
      <c r="GJ222" s="414"/>
      <c r="GK222" s="411"/>
      <c r="GL222" s="411"/>
      <c r="GM222" s="411"/>
      <c r="GN222" s="421"/>
      <c r="GO222" s="413"/>
      <c r="GP222" s="414"/>
      <c r="GQ222" s="414"/>
      <c r="GR222" s="414"/>
      <c r="GS222" s="411"/>
      <c r="GT222" s="411"/>
      <c r="GU222" s="411"/>
      <c r="GV222" s="421"/>
      <c r="GW222" s="413"/>
      <c r="GX222" s="414"/>
      <c r="GY222" s="414"/>
      <c r="GZ222" s="414"/>
      <c r="HA222" s="411"/>
      <c r="HB222" s="411"/>
      <c r="HC222" s="411"/>
      <c r="HD222" s="421"/>
      <c r="HE222" s="413"/>
      <c r="HF222" s="414"/>
      <c r="HG222" s="414"/>
      <c r="HH222" s="414"/>
      <c r="HI222" s="411"/>
      <c r="HJ222" s="411"/>
      <c r="HK222" s="411"/>
      <c r="HL222" s="421"/>
      <c r="HM222" s="413"/>
      <c r="HN222" s="414"/>
      <c r="HO222" s="414"/>
      <c r="HP222" s="414"/>
      <c r="HQ222" s="411"/>
      <c r="HR222" s="411"/>
      <c r="HS222" s="411"/>
      <c r="HT222" s="421"/>
      <c r="HU222" s="413"/>
      <c r="HV222" s="414"/>
      <c r="HW222" s="414"/>
      <c r="HX222" s="414"/>
      <c r="HY222" s="411"/>
      <c r="HZ222" s="411"/>
      <c r="IA222" s="411"/>
      <c r="IB222" s="421"/>
      <c r="IC222" s="413"/>
      <c r="ID222" s="414"/>
      <c r="IE222" s="414"/>
      <c r="IF222" s="414"/>
      <c r="IG222" s="411"/>
      <c r="IH222" s="411"/>
      <c r="II222" s="411"/>
      <c r="IJ222" s="421"/>
      <c r="IK222" s="413"/>
      <c r="IL222" s="414"/>
      <c r="IM222" s="414"/>
      <c r="IN222" s="414"/>
      <c r="IO222" s="411"/>
      <c r="IP222" s="411"/>
      <c r="IQ222" s="411"/>
      <c r="IR222" s="421"/>
      <c r="IS222" s="413"/>
      <c r="IT222" s="414"/>
      <c r="IU222" s="414"/>
      <c r="IV222" s="414"/>
    </row>
    <row r="223" spans="1:256" ht="7.5" customHeight="1">
      <c r="A223" s="589"/>
      <c r="B223" s="590"/>
      <c r="C223" s="407"/>
      <c r="D223" s="407"/>
      <c r="E223" s="407"/>
      <c r="F223" s="407"/>
      <c r="G223" s="407"/>
      <c r="H223" s="407"/>
      <c r="I223" s="467"/>
      <c r="J223" s="455"/>
      <c r="K223" s="455"/>
      <c r="L223" s="459"/>
      <c r="M223" s="457"/>
      <c r="N223" s="457"/>
      <c r="O223" s="457"/>
      <c r="P223" s="457"/>
      <c r="Q223" s="417"/>
      <c r="R223" s="411"/>
      <c r="S223" s="411"/>
      <c r="T223" s="421"/>
      <c r="U223" s="413"/>
      <c r="V223" s="414"/>
      <c r="W223" s="414"/>
      <c r="X223" s="414"/>
      <c r="Y223" s="411"/>
      <c r="Z223" s="411"/>
      <c r="AA223" s="411"/>
      <c r="AB223" s="421"/>
      <c r="AC223" s="413"/>
      <c r="AD223" s="414"/>
      <c r="AE223" s="414"/>
      <c r="AF223" s="414"/>
      <c r="AG223" s="411"/>
      <c r="AH223" s="411"/>
      <c r="AI223" s="411"/>
      <c r="AJ223" s="421"/>
      <c r="AK223" s="413"/>
      <c r="AL223" s="414"/>
      <c r="AM223" s="414"/>
      <c r="AN223" s="414"/>
      <c r="AO223" s="411"/>
      <c r="AP223" s="411"/>
      <c r="AQ223" s="411"/>
      <c r="AR223" s="421"/>
      <c r="AS223" s="413"/>
      <c r="AT223" s="414"/>
      <c r="AU223" s="414"/>
      <c r="AV223" s="414"/>
      <c r="AW223" s="411"/>
      <c r="AX223" s="411"/>
      <c r="AY223" s="411"/>
      <c r="AZ223" s="421"/>
      <c r="BA223" s="413"/>
      <c r="BB223" s="414"/>
      <c r="BC223" s="414"/>
      <c r="BD223" s="414"/>
      <c r="BE223" s="411"/>
      <c r="BF223" s="411"/>
      <c r="BG223" s="411"/>
      <c r="BH223" s="421"/>
      <c r="BI223" s="413"/>
      <c r="BJ223" s="414"/>
      <c r="BK223" s="414"/>
      <c r="BL223" s="414"/>
      <c r="BM223" s="411"/>
      <c r="BN223" s="411"/>
      <c r="BO223" s="411"/>
      <c r="BP223" s="421"/>
      <c r="BQ223" s="413"/>
      <c r="BR223" s="414"/>
      <c r="BS223" s="414"/>
      <c r="BT223" s="414"/>
      <c r="BU223" s="411"/>
      <c r="BV223" s="411"/>
      <c r="BW223" s="411"/>
      <c r="BX223" s="421"/>
      <c r="BY223" s="413"/>
      <c r="BZ223" s="414"/>
      <c r="CA223" s="414"/>
      <c r="CB223" s="414"/>
      <c r="CC223" s="411"/>
      <c r="CD223" s="411"/>
      <c r="CE223" s="411"/>
      <c r="CF223" s="421"/>
      <c r="CG223" s="413"/>
      <c r="CH223" s="414"/>
      <c r="CI223" s="414"/>
      <c r="CJ223" s="414"/>
      <c r="CK223" s="411"/>
      <c r="CL223" s="411"/>
      <c r="CM223" s="411"/>
      <c r="CN223" s="421"/>
      <c r="CO223" s="413"/>
      <c r="CP223" s="414"/>
      <c r="CQ223" s="414"/>
      <c r="CR223" s="414"/>
      <c r="CS223" s="411"/>
      <c r="CT223" s="411"/>
      <c r="CU223" s="411"/>
      <c r="CV223" s="421"/>
      <c r="CW223" s="413"/>
      <c r="CX223" s="414"/>
      <c r="CY223" s="414"/>
      <c r="CZ223" s="414"/>
      <c r="DA223" s="411"/>
      <c r="DB223" s="411"/>
      <c r="DC223" s="411"/>
      <c r="DD223" s="421"/>
      <c r="DE223" s="413"/>
      <c r="DF223" s="414"/>
      <c r="DG223" s="414"/>
      <c r="DH223" s="414"/>
      <c r="DI223" s="411"/>
      <c r="DJ223" s="411"/>
      <c r="DK223" s="411"/>
      <c r="DL223" s="421"/>
      <c r="DM223" s="413"/>
      <c r="DN223" s="414"/>
      <c r="DO223" s="414"/>
      <c r="DP223" s="414"/>
      <c r="DQ223" s="411"/>
      <c r="DR223" s="411"/>
      <c r="DS223" s="411"/>
      <c r="DT223" s="421"/>
      <c r="DU223" s="413"/>
      <c r="DV223" s="414"/>
      <c r="DW223" s="414"/>
      <c r="DX223" s="414"/>
      <c r="DY223" s="411"/>
      <c r="DZ223" s="411"/>
      <c r="EA223" s="411"/>
      <c r="EB223" s="421"/>
      <c r="EC223" s="413"/>
      <c r="ED223" s="414"/>
      <c r="EE223" s="414"/>
      <c r="EF223" s="414"/>
      <c r="EG223" s="411"/>
      <c r="EH223" s="411"/>
      <c r="EI223" s="411"/>
      <c r="EJ223" s="421"/>
      <c r="EK223" s="413"/>
      <c r="EL223" s="414"/>
      <c r="EM223" s="414"/>
      <c r="EN223" s="414"/>
      <c r="EO223" s="411"/>
      <c r="EP223" s="411"/>
      <c r="EQ223" s="411"/>
      <c r="ER223" s="421"/>
      <c r="ES223" s="413"/>
      <c r="ET223" s="414"/>
      <c r="EU223" s="414"/>
      <c r="EV223" s="414"/>
      <c r="EW223" s="411"/>
      <c r="EX223" s="411"/>
      <c r="EY223" s="411"/>
      <c r="EZ223" s="421"/>
      <c r="FA223" s="413"/>
      <c r="FB223" s="414"/>
      <c r="FC223" s="414"/>
      <c r="FD223" s="414"/>
      <c r="FE223" s="411"/>
      <c r="FF223" s="411"/>
      <c r="FG223" s="411"/>
      <c r="FH223" s="421"/>
      <c r="FI223" s="413"/>
      <c r="FJ223" s="414"/>
      <c r="FK223" s="414"/>
      <c r="FL223" s="414"/>
      <c r="FM223" s="411"/>
      <c r="FN223" s="411"/>
      <c r="FO223" s="411"/>
      <c r="FP223" s="421"/>
      <c r="FQ223" s="413"/>
      <c r="FR223" s="414"/>
      <c r="FS223" s="414"/>
      <c r="FT223" s="414"/>
      <c r="FU223" s="411"/>
      <c r="FV223" s="411"/>
      <c r="FW223" s="411"/>
      <c r="FX223" s="421"/>
      <c r="FY223" s="413"/>
      <c r="FZ223" s="414"/>
      <c r="GA223" s="414"/>
      <c r="GB223" s="414"/>
      <c r="GC223" s="411"/>
      <c r="GD223" s="411"/>
      <c r="GE223" s="411"/>
      <c r="GF223" s="421"/>
      <c r="GG223" s="413"/>
      <c r="GH223" s="414"/>
      <c r="GI223" s="414"/>
      <c r="GJ223" s="414"/>
      <c r="GK223" s="411"/>
      <c r="GL223" s="411"/>
      <c r="GM223" s="411"/>
      <c r="GN223" s="421"/>
      <c r="GO223" s="413"/>
      <c r="GP223" s="414"/>
      <c r="GQ223" s="414"/>
      <c r="GR223" s="414"/>
      <c r="GS223" s="411"/>
      <c r="GT223" s="411"/>
      <c r="GU223" s="411"/>
      <c r="GV223" s="421"/>
      <c r="GW223" s="413"/>
      <c r="GX223" s="414"/>
      <c r="GY223" s="414"/>
      <c r="GZ223" s="414"/>
      <c r="HA223" s="411"/>
      <c r="HB223" s="411"/>
      <c r="HC223" s="411"/>
      <c r="HD223" s="421"/>
      <c r="HE223" s="413"/>
      <c r="HF223" s="414"/>
      <c r="HG223" s="414"/>
      <c r="HH223" s="414"/>
      <c r="HI223" s="411"/>
      <c r="HJ223" s="411"/>
      <c r="HK223" s="411"/>
      <c r="HL223" s="421"/>
      <c r="HM223" s="413"/>
      <c r="HN223" s="414"/>
      <c r="HO223" s="414"/>
      <c r="HP223" s="414"/>
      <c r="HQ223" s="411"/>
      <c r="HR223" s="411"/>
      <c r="HS223" s="411"/>
      <c r="HT223" s="421"/>
      <c r="HU223" s="413"/>
      <c r="HV223" s="414"/>
      <c r="HW223" s="414"/>
      <c r="HX223" s="414"/>
      <c r="HY223" s="411"/>
      <c r="HZ223" s="411"/>
      <c r="IA223" s="411"/>
      <c r="IB223" s="421"/>
      <c r="IC223" s="413"/>
      <c r="ID223" s="414"/>
      <c r="IE223" s="414"/>
      <c r="IF223" s="414"/>
      <c r="IG223" s="411"/>
      <c r="IH223" s="411"/>
      <c r="II223" s="411"/>
      <c r="IJ223" s="421"/>
      <c r="IK223" s="413"/>
      <c r="IL223" s="414"/>
      <c r="IM223" s="414"/>
      <c r="IN223" s="414"/>
      <c r="IO223" s="411"/>
      <c r="IP223" s="411"/>
      <c r="IQ223" s="411"/>
      <c r="IR223" s="421"/>
      <c r="IS223" s="413"/>
      <c r="IT223" s="414"/>
      <c r="IU223" s="414"/>
      <c r="IV223" s="414"/>
    </row>
    <row r="224" spans="1:256" ht="25.5" customHeight="1">
      <c r="A224" s="366" t="s">
        <v>248</v>
      </c>
      <c r="B224" s="367"/>
      <c r="C224" s="353" t="s">
        <v>192</v>
      </c>
      <c r="D224" s="353"/>
      <c r="E224" s="344">
        <v>0</v>
      </c>
      <c r="F224" s="344"/>
      <c r="G224" s="345">
        <v>0</v>
      </c>
      <c r="H224" s="346"/>
      <c r="I224" s="337"/>
      <c r="J224" s="458"/>
      <c r="K224" s="458"/>
      <c r="L224" s="459"/>
      <c r="M224" s="457"/>
      <c r="N224" s="457"/>
      <c r="O224" s="457"/>
      <c r="P224" s="457"/>
      <c r="Q224" s="419" t="s">
        <v>159</v>
      </c>
      <c r="R224" s="419"/>
      <c r="S224" s="420"/>
      <c r="T224" s="421"/>
      <c r="U224" s="413"/>
      <c r="V224" s="414"/>
      <c r="W224" s="414"/>
      <c r="X224" s="414"/>
      <c r="Y224" s="418" t="s">
        <v>159</v>
      </c>
      <c r="Z224" s="419"/>
      <c r="AA224" s="420"/>
      <c r="AB224" s="421"/>
      <c r="AC224" s="413"/>
      <c r="AD224" s="414"/>
      <c r="AE224" s="414"/>
      <c r="AF224" s="414"/>
      <c r="AG224" s="418" t="s">
        <v>159</v>
      </c>
      <c r="AH224" s="419"/>
      <c r="AI224" s="420"/>
      <c r="AJ224" s="421"/>
      <c r="AK224" s="413"/>
      <c r="AL224" s="414"/>
      <c r="AM224" s="414"/>
      <c r="AN224" s="414"/>
      <c r="AO224" s="418" t="s">
        <v>159</v>
      </c>
      <c r="AP224" s="419"/>
      <c r="AQ224" s="420"/>
      <c r="AR224" s="421"/>
      <c r="AS224" s="413"/>
      <c r="AT224" s="414"/>
      <c r="AU224" s="414"/>
      <c r="AV224" s="414"/>
      <c r="AW224" s="418" t="s">
        <v>159</v>
      </c>
      <c r="AX224" s="419"/>
      <c r="AY224" s="420"/>
      <c r="AZ224" s="421"/>
      <c r="BA224" s="413"/>
      <c r="BB224" s="414"/>
      <c r="BC224" s="414"/>
      <c r="BD224" s="414"/>
      <c r="BE224" s="418" t="s">
        <v>159</v>
      </c>
      <c r="BF224" s="419"/>
      <c r="BG224" s="420"/>
      <c r="BH224" s="421"/>
      <c r="BI224" s="413"/>
      <c r="BJ224" s="414"/>
      <c r="BK224" s="414"/>
      <c r="BL224" s="414"/>
      <c r="BM224" s="418" t="s">
        <v>159</v>
      </c>
      <c r="BN224" s="419"/>
      <c r="BO224" s="420"/>
      <c r="BP224" s="421"/>
      <c r="BQ224" s="413"/>
      <c r="BR224" s="414"/>
      <c r="BS224" s="414"/>
      <c r="BT224" s="414"/>
      <c r="BU224" s="418" t="s">
        <v>159</v>
      </c>
      <c r="BV224" s="419"/>
      <c r="BW224" s="420"/>
      <c r="BX224" s="421"/>
      <c r="BY224" s="413"/>
      <c r="BZ224" s="414"/>
      <c r="CA224" s="414"/>
      <c r="CB224" s="414"/>
      <c r="CC224" s="418" t="s">
        <v>159</v>
      </c>
      <c r="CD224" s="419"/>
      <c r="CE224" s="420"/>
      <c r="CF224" s="421"/>
      <c r="CG224" s="413"/>
      <c r="CH224" s="414"/>
      <c r="CI224" s="414"/>
      <c r="CJ224" s="414"/>
      <c r="CK224" s="418" t="s">
        <v>159</v>
      </c>
      <c r="CL224" s="419"/>
      <c r="CM224" s="420"/>
      <c r="CN224" s="421"/>
      <c r="CO224" s="413"/>
      <c r="CP224" s="414"/>
      <c r="CQ224" s="414"/>
      <c r="CR224" s="414"/>
      <c r="CS224" s="418" t="s">
        <v>159</v>
      </c>
      <c r="CT224" s="419"/>
      <c r="CU224" s="420"/>
      <c r="CV224" s="421"/>
      <c r="CW224" s="413"/>
      <c r="CX224" s="414"/>
      <c r="CY224" s="414"/>
      <c r="CZ224" s="414"/>
      <c r="DA224" s="418" t="s">
        <v>159</v>
      </c>
      <c r="DB224" s="419"/>
      <c r="DC224" s="420"/>
      <c r="DD224" s="421"/>
      <c r="DE224" s="413"/>
      <c r="DF224" s="414"/>
      <c r="DG224" s="414"/>
      <c r="DH224" s="414"/>
      <c r="DI224" s="418" t="s">
        <v>159</v>
      </c>
      <c r="DJ224" s="419"/>
      <c r="DK224" s="420"/>
      <c r="DL224" s="421"/>
      <c r="DM224" s="413"/>
      <c r="DN224" s="414"/>
      <c r="DO224" s="414"/>
      <c r="DP224" s="414"/>
      <c r="DQ224" s="418" t="s">
        <v>159</v>
      </c>
      <c r="DR224" s="419"/>
      <c r="DS224" s="420"/>
      <c r="DT224" s="421"/>
      <c r="DU224" s="413"/>
      <c r="DV224" s="414"/>
      <c r="DW224" s="414"/>
      <c r="DX224" s="414"/>
      <c r="DY224" s="418" t="s">
        <v>159</v>
      </c>
      <c r="DZ224" s="419"/>
      <c r="EA224" s="420"/>
      <c r="EB224" s="421"/>
      <c r="EC224" s="413"/>
      <c r="ED224" s="414"/>
      <c r="EE224" s="414"/>
      <c r="EF224" s="414"/>
      <c r="EG224" s="418" t="s">
        <v>159</v>
      </c>
      <c r="EH224" s="419"/>
      <c r="EI224" s="420"/>
      <c r="EJ224" s="421"/>
      <c r="EK224" s="413"/>
      <c r="EL224" s="414"/>
      <c r="EM224" s="414"/>
      <c r="EN224" s="414"/>
      <c r="EO224" s="418" t="s">
        <v>159</v>
      </c>
      <c r="EP224" s="419"/>
      <c r="EQ224" s="420"/>
      <c r="ER224" s="421"/>
      <c r="ES224" s="413"/>
      <c r="ET224" s="414"/>
      <c r="EU224" s="414"/>
      <c r="EV224" s="414"/>
      <c r="EW224" s="418" t="s">
        <v>159</v>
      </c>
      <c r="EX224" s="419"/>
      <c r="EY224" s="420"/>
      <c r="EZ224" s="421"/>
      <c r="FA224" s="413"/>
      <c r="FB224" s="414"/>
      <c r="FC224" s="414"/>
      <c r="FD224" s="414"/>
      <c r="FE224" s="418" t="s">
        <v>159</v>
      </c>
      <c r="FF224" s="419"/>
      <c r="FG224" s="420"/>
      <c r="FH224" s="421"/>
      <c r="FI224" s="413"/>
      <c r="FJ224" s="414"/>
      <c r="FK224" s="414"/>
      <c r="FL224" s="414"/>
      <c r="FM224" s="418" t="s">
        <v>159</v>
      </c>
      <c r="FN224" s="419"/>
      <c r="FO224" s="420"/>
      <c r="FP224" s="421"/>
      <c r="FQ224" s="413"/>
      <c r="FR224" s="414"/>
      <c r="FS224" s="414"/>
      <c r="FT224" s="414"/>
      <c r="FU224" s="418" t="s">
        <v>159</v>
      </c>
      <c r="FV224" s="419"/>
      <c r="FW224" s="420"/>
      <c r="FX224" s="421"/>
      <c r="FY224" s="413"/>
      <c r="FZ224" s="414"/>
      <c r="GA224" s="414"/>
      <c r="GB224" s="414"/>
      <c r="GC224" s="418" t="s">
        <v>159</v>
      </c>
      <c r="GD224" s="419"/>
      <c r="GE224" s="420"/>
      <c r="GF224" s="421"/>
      <c r="GG224" s="413"/>
      <c r="GH224" s="414"/>
      <c r="GI224" s="414"/>
      <c r="GJ224" s="414"/>
      <c r="GK224" s="418" t="s">
        <v>159</v>
      </c>
      <c r="GL224" s="419"/>
      <c r="GM224" s="420"/>
      <c r="GN224" s="421"/>
      <c r="GO224" s="413"/>
      <c r="GP224" s="414"/>
      <c r="GQ224" s="414"/>
      <c r="GR224" s="414"/>
      <c r="GS224" s="418" t="s">
        <v>159</v>
      </c>
      <c r="GT224" s="419"/>
      <c r="GU224" s="420"/>
      <c r="GV224" s="421"/>
      <c r="GW224" s="413"/>
      <c r="GX224" s="414"/>
      <c r="GY224" s="414"/>
      <c r="GZ224" s="414"/>
      <c r="HA224" s="418" t="s">
        <v>159</v>
      </c>
      <c r="HB224" s="419"/>
      <c r="HC224" s="420"/>
      <c r="HD224" s="421"/>
      <c r="HE224" s="413"/>
      <c r="HF224" s="414"/>
      <c r="HG224" s="414"/>
      <c r="HH224" s="414"/>
      <c r="HI224" s="418" t="s">
        <v>159</v>
      </c>
      <c r="HJ224" s="419"/>
      <c r="HK224" s="420"/>
      <c r="HL224" s="421"/>
      <c r="HM224" s="413"/>
      <c r="HN224" s="414"/>
      <c r="HO224" s="414"/>
      <c r="HP224" s="414"/>
      <c r="HQ224" s="418" t="s">
        <v>159</v>
      </c>
      <c r="HR224" s="419"/>
      <c r="HS224" s="420"/>
      <c r="HT224" s="421"/>
      <c r="HU224" s="413"/>
      <c r="HV224" s="414"/>
      <c r="HW224" s="414"/>
      <c r="HX224" s="414"/>
      <c r="HY224" s="418" t="s">
        <v>159</v>
      </c>
      <c r="HZ224" s="419"/>
      <c r="IA224" s="420"/>
      <c r="IB224" s="421"/>
      <c r="IC224" s="413"/>
      <c r="ID224" s="414"/>
      <c r="IE224" s="414"/>
      <c r="IF224" s="414"/>
      <c r="IG224" s="418" t="s">
        <v>159</v>
      </c>
      <c r="IH224" s="419"/>
      <c r="II224" s="420"/>
      <c r="IJ224" s="421"/>
      <c r="IK224" s="413"/>
      <c r="IL224" s="414"/>
      <c r="IM224" s="414"/>
      <c r="IN224" s="414"/>
      <c r="IO224" s="418" t="s">
        <v>159</v>
      </c>
      <c r="IP224" s="419"/>
      <c r="IQ224" s="420"/>
      <c r="IR224" s="421"/>
      <c r="IS224" s="413"/>
      <c r="IT224" s="414"/>
      <c r="IU224" s="414"/>
      <c r="IV224" s="414"/>
    </row>
    <row r="225" spans="1:256" ht="25.5" customHeight="1">
      <c r="A225" s="366" t="s">
        <v>235</v>
      </c>
      <c r="B225" s="367"/>
      <c r="C225" s="356" t="s">
        <v>193</v>
      </c>
      <c r="D225" s="356"/>
      <c r="E225" s="351">
        <f>I180</f>
        <v>2536.62</v>
      </c>
      <c r="F225" s="352"/>
      <c r="G225" s="345">
        <f>ROUND((1/800)*E225,2)</f>
        <v>3.17</v>
      </c>
      <c r="H225" s="359"/>
      <c r="I225" s="337"/>
      <c r="J225" s="455"/>
      <c r="K225" s="455"/>
      <c r="L225" s="459"/>
      <c r="M225" s="457"/>
      <c r="N225" s="457"/>
      <c r="O225" s="457"/>
      <c r="P225" s="457"/>
      <c r="Q225" s="417"/>
      <c r="R225" s="411"/>
      <c r="S225" s="411"/>
      <c r="T225" s="421"/>
      <c r="U225" s="413"/>
      <c r="V225" s="414"/>
      <c r="W225" s="414"/>
      <c r="X225" s="414"/>
      <c r="Y225" s="411"/>
      <c r="Z225" s="411"/>
      <c r="AA225" s="411"/>
      <c r="AB225" s="421"/>
      <c r="AC225" s="413"/>
      <c r="AD225" s="414"/>
      <c r="AE225" s="414"/>
      <c r="AF225" s="414"/>
      <c r="AG225" s="411"/>
      <c r="AH225" s="411"/>
      <c r="AI225" s="411"/>
      <c r="AJ225" s="421"/>
      <c r="AK225" s="413"/>
      <c r="AL225" s="414"/>
      <c r="AM225" s="414"/>
      <c r="AN225" s="414"/>
      <c r="AO225" s="411"/>
      <c r="AP225" s="411"/>
      <c r="AQ225" s="411"/>
      <c r="AR225" s="421"/>
      <c r="AS225" s="413"/>
      <c r="AT225" s="414"/>
      <c r="AU225" s="414"/>
      <c r="AV225" s="414"/>
      <c r="AW225" s="411"/>
      <c r="AX225" s="411"/>
      <c r="AY225" s="411"/>
      <c r="AZ225" s="421"/>
      <c r="BA225" s="413"/>
      <c r="BB225" s="414"/>
      <c r="BC225" s="414"/>
      <c r="BD225" s="414"/>
      <c r="BE225" s="411"/>
      <c r="BF225" s="411"/>
      <c r="BG225" s="411"/>
      <c r="BH225" s="421"/>
      <c r="BI225" s="413"/>
      <c r="BJ225" s="414"/>
      <c r="BK225" s="414"/>
      <c r="BL225" s="414"/>
      <c r="BM225" s="411"/>
      <c r="BN225" s="411"/>
      <c r="BO225" s="411"/>
      <c r="BP225" s="421"/>
      <c r="BQ225" s="413"/>
      <c r="BR225" s="414"/>
      <c r="BS225" s="414"/>
      <c r="BT225" s="414"/>
      <c r="BU225" s="411"/>
      <c r="BV225" s="411"/>
      <c r="BW225" s="411"/>
      <c r="BX225" s="421"/>
      <c r="BY225" s="413"/>
      <c r="BZ225" s="414"/>
      <c r="CA225" s="414"/>
      <c r="CB225" s="414"/>
      <c r="CC225" s="411"/>
      <c r="CD225" s="411"/>
      <c r="CE225" s="411"/>
      <c r="CF225" s="421"/>
      <c r="CG225" s="413"/>
      <c r="CH225" s="414"/>
      <c r="CI225" s="414"/>
      <c r="CJ225" s="414"/>
      <c r="CK225" s="411"/>
      <c r="CL225" s="411"/>
      <c r="CM225" s="411"/>
      <c r="CN225" s="421"/>
      <c r="CO225" s="413"/>
      <c r="CP225" s="414"/>
      <c r="CQ225" s="414"/>
      <c r="CR225" s="414"/>
      <c r="CS225" s="411"/>
      <c r="CT225" s="411"/>
      <c r="CU225" s="411"/>
      <c r="CV225" s="421"/>
      <c r="CW225" s="413"/>
      <c r="CX225" s="414"/>
      <c r="CY225" s="414"/>
      <c r="CZ225" s="414"/>
      <c r="DA225" s="411"/>
      <c r="DB225" s="411"/>
      <c r="DC225" s="411"/>
      <c r="DD225" s="421"/>
      <c r="DE225" s="413"/>
      <c r="DF225" s="414"/>
      <c r="DG225" s="414"/>
      <c r="DH225" s="414"/>
      <c r="DI225" s="411"/>
      <c r="DJ225" s="411"/>
      <c r="DK225" s="411"/>
      <c r="DL225" s="421"/>
      <c r="DM225" s="413"/>
      <c r="DN225" s="414"/>
      <c r="DO225" s="414"/>
      <c r="DP225" s="414"/>
      <c r="DQ225" s="411"/>
      <c r="DR225" s="411"/>
      <c r="DS225" s="411"/>
      <c r="DT225" s="421"/>
      <c r="DU225" s="413"/>
      <c r="DV225" s="414"/>
      <c r="DW225" s="414"/>
      <c r="DX225" s="414"/>
      <c r="DY225" s="411"/>
      <c r="DZ225" s="411"/>
      <c r="EA225" s="411"/>
      <c r="EB225" s="421"/>
      <c r="EC225" s="413"/>
      <c r="ED225" s="414"/>
      <c r="EE225" s="414"/>
      <c r="EF225" s="414"/>
      <c r="EG225" s="411"/>
      <c r="EH225" s="411"/>
      <c r="EI225" s="411"/>
      <c r="EJ225" s="421"/>
      <c r="EK225" s="413"/>
      <c r="EL225" s="414"/>
      <c r="EM225" s="414"/>
      <c r="EN225" s="414"/>
      <c r="EO225" s="411"/>
      <c r="EP225" s="411"/>
      <c r="EQ225" s="411"/>
      <c r="ER225" s="421"/>
      <c r="ES225" s="413"/>
      <c r="ET225" s="414"/>
      <c r="EU225" s="414"/>
      <c r="EV225" s="414"/>
      <c r="EW225" s="411"/>
      <c r="EX225" s="411"/>
      <c r="EY225" s="411"/>
      <c r="EZ225" s="421"/>
      <c r="FA225" s="413"/>
      <c r="FB225" s="414"/>
      <c r="FC225" s="414"/>
      <c r="FD225" s="414"/>
      <c r="FE225" s="411"/>
      <c r="FF225" s="411"/>
      <c r="FG225" s="411"/>
      <c r="FH225" s="421"/>
      <c r="FI225" s="413"/>
      <c r="FJ225" s="414"/>
      <c r="FK225" s="414"/>
      <c r="FL225" s="414"/>
      <c r="FM225" s="411"/>
      <c r="FN225" s="411"/>
      <c r="FO225" s="411"/>
      <c r="FP225" s="421"/>
      <c r="FQ225" s="413"/>
      <c r="FR225" s="414"/>
      <c r="FS225" s="414"/>
      <c r="FT225" s="414"/>
      <c r="FU225" s="411"/>
      <c r="FV225" s="411"/>
      <c r="FW225" s="411"/>
      <c r="FX225" s="421"/>
      <c r="FY225" s="413"/>
      <c r="FZ225" s="414"/>
      <c r="GA225" s="414"/>
      <c r="GB225" s="414"/>
      <c r="GC225" s="411"/>
      <c r="GD225" s="411"/>
      <c r="GE225" s="411"/>
      <c r="GF225" s="421"/>
      <c r="GG225" s="413"/>
      <c r="GH225" s="414"/>
      <c r="GI225" s="414"/>
      <c r="GJ225" s="414"/>
      <c r="GK225" s="411"/>
      <c r="GL225" s="411"/>
      <c r="GM225" s="411"/>
      <c r="GN225" s="421"/>
      <c r="GO225" s="413"/>
      <c r="GP225" s="414"/>
      <c r="GQ225" s="414"/>
      <c r="GR225" s="414"/>
      <c r="GS225" s="411"/>
      <c r="GT225" s="411"/>
      <c r="GU225" s="411"/>
      <c r="GV225" s="421"/>
      <c r="GW225" s="413"/>
      <c r="GX225" s="414"/>
      <c r="GY225" s="414"/>
      <c r="GZ225" s="414"/>
      <c r="HA225" s="411"/>
      <c r="HB225" s="411"/>
      <c r="HC225" s="411"/>
      <c r="HD225" s="421"/>
      <c r="HE225" s="413"/>
      <c r="HF225" s="414"/>
      <c r="HG225" s="414"/>
      <c r="HH225" s="414"/>
      <c r="HI225" s="411"/>
      <c r="HJ225" s="411"/>
      <c r="HK225" s="411"/>
      <c r="HL225" s="421"/>
      <c r="HM225" s="413"/>
      <c r="HN225" s="414"/>
      <c r="HO225" s="414"/>
      <c r="HP225" s="414"/>
      <c r="HQ225" s="411"/>
      <c r="HR225" s="411"/>
      <c r="HS225" s="411"/>
      <c r="HT225" s="421"/>
      <c r="HU225" s="413"/>
      <c r="HV225" s="414"/>
      <c r="HW225" s="414"/>
      <c r="HX225" s="414"/>
      <c r="HY225" s="411"/>
      <c r="HZ225" s="411"/>
      <c r="IA225" s="411"/>
      <c r="IB225" s="421"/>
      <c r="IC225" s="413"/>
      <c r="ID225" s="414"/>
      <c r="IE225" s="414"/>
      <c r="IF225" s="414"/>
      <c r="IG225" s="411"/>
      <c r="IH225" s="411"/>
      <c r="II225" s="411"/>
      <c r="IJ225" s="421"/>
      <c r="IK225" s="413"/>
      <c r="IL225" s="414"/>
      <c r="IM225" s="414"/>
      <c r="IN225" s="414"/>
      <c r="IO225" s="411"/>
      <c r="IP225" s="411"/>
      <c r="IQ225" s="411"/>
      <c r="IR225" s="421"/>
      <c r="IS225" s="413"/>
      <c r="IT225" s="414"/>
      <c r="IU225" s="414"/>
      <c r="IV225" s="414"/>
    </row>
    <row r="226" spans="1:256" ht="14.25" customHeight="1">
      <c r="A226" s="347" t="s">
        <v>134</v>
      </c>
      <c r="B226" s="348"/>
      <c r="C226" s="349"/>
      <c r="D226" s="349"/>
      <c r="E226" s="349"/>
      <c r="F226" s="350"/>
      <c r="G226" s="401">
        <f>SUM(G224+G225)</f>
        <v>3.17</v>
      </c>
      <c r="H226" s="402"/>
      <c r="I226" s="403"/>
      <c r="J226" s="455"/>
      <c r="K226" s="455"/>
      <c r="L226" s="459"/>
      <c r="M226" s="457"/>
      <c r="N226" s="457"/>
      <c r="O226" s="457"/>
      <c r="P226" s="457"/>
      <c r="Q226" s="417"/>
      <c r="R226" s="411"/>
      <c r="S226" s="411"/>
      <c r="T226" s="421"/>
      <c r="U226" s="413"/>
      <c r="V226" s="414"/>
      <c r="W226" s="414"/>
      <c r="X226" s="414"/>
      <c r="Y226" s="411"/>
      <c r="Z226" s="411"/>
      <c r="AA226" s="411"/>
      <c r="AB226" s="421"/>
      <c r="AC226" s="413"/>
      <c r="AD226" s="414"/>
      <c r="AE226" s="414"/>
      <c r="AF226" s="414"/>
      <c r="AG226" s="411"/>
      <c r="AH226" s="411"/>
      <c r="AI226" s="411"/>
      <c r="AJ226" s="421"/>
      <c r="AK226" s="413"/>
      <c r="AL226" s="414"/>
      <c r="AM226" s="414"/>
      <c r="AN226" s="414"/>
      <c r="AO226" s="411"/>
      <c r="AP226" s="411"/>
      <c r="AQ226" s="411"/>
      <c r="AR226" s="421"/>
      <c r="AS226" s="413"/>
      <c r="AT226" s="414"/>
      <c r="AU226" s="414"/>
      <c r="AV226" s="414"/>
      <c r="AW226" s="411"/>
      <c r="AX226" s="411"/>
      <c r="AY226" s="411"/>
      <c r="AZ226" s="421"/>
      <c r="BA226" s="413"/>
      <c r="BB226" s="414"/>
      <c r="BC226" s="414"/>
      <c r="BD226" s="414"/>
      <c r="BE226" s="411"/>
      <c r="BF226" s="411"/>
      <c r="BG226" s="411"/>
      <c r="BH226" s="421"/>
      <c r="BI226" s="413"/>
      <c r="BJ226" s="414"/>
      <c r="BK226" s="414"/>
      <c r="BL226" s="414"/>
      <c r="BM226" s="411"/>
      <c r="BN226" s="411"/>
      <c r="BO226" s="411"/>
      <c r="BP226" s="421"/>
      <c r="BQ226" s="413"/>
      <c r="BR226" s="414"/>
      <c r="BS226" s="414"/>
      <c r="BT226" s="414"/>
      <c r="BU226" s="411"/>
      <c r="BV226" s="411"/>
      <c r="BW226" s="411"/>
      <c r="BX226" s="421"/>
      <c r="BY226" s="413"/>
      <c r="BZ226" s="414"/>
      <c r="CA226" s="414"/>
      <c r="CB226" s="414"/>
      <c r="CC226" s="411"/>
      <c r="CD226" s="411"/>
      <c r="CE226" s="411"/>
      <c r="CF226" s="421"/>
      <c r="CG226" s="413"/>
      <c r="CH226" s="414"/>
      <c r="CI226" s="414"/>
      <c r="CJ226" s="414"/>
      <c r="CK226" s="411"/>
      <c r="CL226" s="411"/>
      <c r="CM226" s="411"/>
      <c r="CN226" s="421"/>
      <c r="CO226" s="413"/>
      <c r="CP226" s="414"/>
      <c r="CQ226" s="414"/>
      <c r="CR226" s="414"/>
      <c r="CS226" s="411"/>
      <c r="CT226" s="411"/>
      <c r="CU226" s="411"/>
      <c r="CV226" s="421"/>
      <c r="CW226" s="413"/>
      <c r="CX226" s="414"/>
      <c r="CY226" s="414"/>
      <c r="CZ226" s="414"/>
      <c r="DA226" s="411"/>
      <c r="DB226" s="411"/>
      <c r="DC226" s="411"/>
      <c r="DD226" s="421"/>
      <c r="DE226" s="413"/>
      <c r="DF226" s="414"/>
      <c r="DG226" s="414"/>
      <c r="DH226" s="414"/>
      <c r="DI226" s="411"/>
      <c r="DJ226" s="411"/>
      <c r="DK226" s="411"/>
      <c r="DL226" s="421"/>
      <c r="DM226" s="413"/>
      <c r="DN226" s="414"/>
      <c r="DO226" s="414"/>
      <c r="DP226" s="414"/>
      <c r="DQ226" s="411"/>
      <c r="DR226" s="411"/>
      <c r="DS226" s="411"/>
      <c r="DT226" s="421"/>
      <c r="DU226" s="413"/>
      <c r="DV226" s="414"/>
      <c r="DW226" s="414"/>
      <c r="DX226" s="414"/>
      <c r="DY226" s="411"/>
      <c r="DZ226" s="411"/>
      <c r="EA226" s="411"/>
      <c r="EB226" s="421"/>
      <c r="EC226" s="413"/>
      <c r="ED226" s="414"/>
      <c r="EE226" s="414"/>
      <c r="EF226" s="414"/>
      <c r="EG226" s="411"/>
      <c r="EH226" s="411"/>
      <c r="EI226" s="411"/>
      <c r="EJ226" s="421"/>
      <c r="EK226" s="413"/>
      <c r="EL226" s="414"/>
      <c r="EM226" s="414"/>
      <c r="EN226" s="414"/>
      <c r="EO226" s="411"/>
      <c r="EP226" s="411"/>
      <c r="EQ226" s="411"/>
      <c r="ER226" s="421"/>
      <c r="ES226" s="413"/>
      <c r="ET226" s="414"/>
      <c r="EU226" s="414"/>
      <c r="EV226" s="414"/>
      <c r="EW226" s="411"/>
      <c r="EX226" s="411"/>
      <c r="EY226" s="411"/>
      <c r="EZ226" s="421"/>
      <c r="FA226" s="413"/>
      <c r="FB226" s="414"/>
      <c r="FC226" s="414"/>
      <c r="FD226" s="414"/>
      <c r="FE226" s="411"/>
      <c r="FF226" s="411"/>
      <c r="FG226" s="411"/>
      <c r="FH226" s="421"/>
      <c r="FI226" s="413"/>
      <c r="FJ226" s="414"/>
      <c r="FK226" s="414"/>
      <c r="FL226" s="414"/>
      <c r="FM226" s="411"/>
      <c r="FN226" s="411"/>
      <c r="FO226" s="411"/>
      <c r="FP226" s="421"/>
      <c r="FQ226" s="413"/>
      <c r="FR226" s="414"/>
      <c r="FS226" s="414"/>
      <c r="FT226" s="414"/>
      <c r="FU226" s="411"/>
      <c r="FV226" s="411"/>
      <c r="FW226" s="411"/>
      <c r="FX226" s="421"/>
      <c r="FY226" s="413"/>
      <c r="FZ226" s="414"/>
      <c r="GA226" s="414"/>
      <c r="GB226" s="414"/>
      <c r="GC226" s="411"/>
      <c r="GD226" s="411"/>
      <c r="GE226" s="411"/>
      <c r="GF226" s="421"/>
      <c r="GG226" s="413"/>
      <c r="GH226" s="414"/>
      <c r="GI226" s="414"/>
      <c r="GJ226" s="414"/>
      <c r="GK226" s="411"/>
      <c r="GL226" s="411"/>
      <c r="GM226" s="411"/>
      <c r="GN226" s="421"/>
      <c r="GO226" s="413"/>
      <c r="GP226" s="414"/>
      <c r="GQ226" s="414"/>
      <c r="GR226" s="414"/>
      <c r="GS226" s="411"/>
      <c r="GT226" s="411"/>
      <c r="GU226" s="411"/>
      <c r="GV226" s="421"/>
      <c r="GW226" s="413"/>
      <c r="GX226" s="414"/>
      <c r="GY226" s="414"/>
      <c r="GZ226" s="414"/>
      <c r="HA226" s="411"/>
      <c r="HB226" s="411"/>
      <c r="HC226" s="411"/>
      <c r="HD226" s="421"/>
      <c r="HE226" s="413"/>
      <c r="HF226" s="414"/>
      <c r="HG226" s="414"/>
      <c r="HH226" s="414"/>
      <c r="HI226" s="411"/>
      <c r="HJ226" s="411"/>
      <c r="HK226" s="411"/>
      <c r="HL226" s="421"/>
      <c r="HM226" s="413"/>
      <c r="HN226" s="414"/>
      <c r="HO226" s="414"/>
      <c r="HP226" s="414"/>
      <c r="HQ226" s="411"/>
      <c r="HR226" s="411"/>
      <c r="HS226" s="411"/>
      <c r="HT226" s="421"/>
      <c r="HU226" s="413"/>
      <c r="HV226" s="414"/>
      <c r="HW226" s="414"/>
      <c r="HX226" s="414"/>
      <c r="HY226" s="411"/>
      <c r="HZ226" s="411"/>
      <c r="IA226" s="411"/>
      <c r="IB226" s="421"/>
      <c r="IC226" s="413"/>
      <c r="ID226" s="414"/>
      <c r="IE226" s="414"/>
      <c r="IF226" s="414"/>
      <c r="IG226" s="411"/>
      <c r="IH226" s="411"/>
      <c r="II226" s="411"/>
      <c r="IJ226" s="421"/>
      <c r="IK226" s="413"/>
      <c r="IL226" s="414"/>
      <c r="IM226" s="414"/>
      <c r="IN226" s="414"/>
      <c r="IO226" s="411"/>
      <c r="IP226" s="411"/>
      <c r="IQ226" s="411"/>
      <c r="IR226" s="421"/>
      <c r="IS226" s="413"/>
      <c r="IT226" s="414"/>
      <c r="IU226" s="414"/>
      <c r="IV226" s="414"/>
    </row>
    <row r="227" spans="1:256" ht="9" customHeight="1">
      <c r="A227" s="593"/>
      <c r="B227" s="594"/>
      <c r="C227" s="407"/>
      <c r="D227" s="407"/>
      <c r="E227" s="407"/>
      <c r="F227" s="407"/>
      <c r="G227" s="407"/>
      <c r="H227" s="407"/>
      <c r="I227" s="467"/>
      <c r="J227" s="455"/>
      <c r="K227" s="455"/>
      <c r="L227" s="459"/>
      <c r="M227" s="457"/>
      <c r="N227" s="457"/>
      <c r="O227" s="457"/>
      <c r="P227" s="457"/>
      <c r="Q227" s="417"/>
      <c r="R227" s="411"/>
      <c r="S227" s="411"/>
      <c r="T227" s="421"/>
      <c r="U227" s="413"/>
      <c r="V227" s="414"/>
      <c r="W227" s="414"/>
      <c r="X227" s="414"/>
      <c r="Y227" s="411"/>
      <c r="Z227" s="411"/>
      <c r="AA227" s="411"/>
      <c r="AB227" s="421"/>
      <c r="AC227" s="413"/>
      <c r="AD227" s="414"/>
      <c r="AE227" s="414"/>
      <c r="AF227" s="414"/>
      <c r="AG227" s="411"/>
      <c r="AH227" s="411"/>
      <c r="AI227" s="411"/>
      <c r="AJ227" s="421"/>
      <c r="AK227" s="413"/>
      <c r="AL227" s="414"/>
      <c r="AM227" s="414"/>
      <c r="AN227" s="414"/>
      <c r="AO227" s="411"/>
      <c r="AP227" s="411"/>
      <c r="AQ227" s="411"/>
      <c r="AR227" s="421"/>
      <c r="AS227" s="413"/>
      <c r="AT227" s="414"/>
      <c r="AU227" s="414"/>
      <c r="AV227" s="414"/>
      <c r="AW227" s="411"/>
      <c r="AX227" s="411"/>
      <c r="AY227" s="411"/>
      <c r="AZ227" s="421"/>
      <c r="BA227" s="413"/>
      <c r="BB227" s="414"/>
      <c r="BC227" s="414"/>
      <c r="BD227" s="414"/>
      <c r="BE227" s="411"/>
      <c r="BF227" s="411"/>
      <c r="BG227" s="411"/>
      <c r="BH227" s="421"/>
      <c r="BI227" s="413"/>
      <c r="BJ227" s="414"/>
      <c r="BK227" s="414"/>
      <c r="BL227" s="414"/>
      <c r="BM227" s="411"/>
      <c r="BN227" s="411"/>
      <c r="BO227" s="411"/>
      <c r="BP227" s="421"/>
      <c r="BQ227" s="413"/>
      <c r="BR227" s="414"/>
      <c r="BS227" s="414"/>
      <c r="BT227" s="414"/>
      <c r="BU227" s="411"/>
      <c r="BV227" s="411"/>
      <c r="BW227" s="411"/>
      <c r="BX227" s="421"/>
      <c r="BY227" s="413"/>
      <c r="BZ227" s="414"/>
      <c r="CA227" s="414"/>
      <c r="CB227" s="414"/>
      <c r="CC227" s="411"/>
      <c r="CD227" s="411"/>
      <c r="CE227" s="411"/>
      <c r="CF227" s="421"/>
      <c r="CG227" s="413"/>
      <c r="CH227" s="414"/>
      <c r="CI227" s="414"/>
      <c r="CJ227" s="414"/>
      <c r="CK227" s="411"/>
      <c r="CL227" s="411"/>
      <c r="CM227" s="411"/>
      <c r="CN227" s="421"/>
      <c r="CO227" s="413"/>
      <c r="CP227" s="414"/>
      <c r="CQ227" s="414"/>
      <c r="CR227" s="414"/>
      <c r="CS227" s="411"/>
      <c r="CT227" s="411"/>
      <c r="CU227" s="411"/>
      <c r="CV227" s="421"/>
      <c r="CW227" s="413"/>
      <c r="CX227" s="414"/>
      <c r="CY227" s="414"/>
      <c r="CZ227" s="414"/>
      <c r="DA227" s="411"/>
      <c r="DB227" s="411"/>
      <c r="DC227" s="411"/>
      <c r="DD227" s="421"/>
      <c r="DE227" s="413"/>
      <c r="DF227" s="414"/>
      <c r="DG227" s="414"/>
      <c r="DH227" s="414"/>
      <c r="DI227" s="411"/>
      <c r="DJ227" s="411"/>
      <c r="DK227" s="411"/>
      <c r="DL227" s="421"/>
      <c r="DM227" s="413"/>
      <c r="DN227" s="414"/>
      <c r="DO227" s="414"/>
      <c r="DP227" s="414"/>
      <c r="DQ227" s="411"/>
      <c r="DR227" s="411"/>
      <c r="DS227" s="411"/>
      <c r="DT227" s="421"/>
      <c r="DU227" s="413"/>
      <c r="DV227" s="414"/>
      <c r="DW227" s="414"/>
      <c r="DX227" s="414"/>
      <c r="DY227" s="411"/>
      <c r="DZ227" s="411"/>
      <c r="EA227" s="411"/>
      <c r="EB227" s="421"/>
      <c r="EC227" s="413"/>
      <c r="ED227" s="414"/>
      <c r="EE227" s="414"/>
      <c r="EF227" s="414"/>
      <c r="EG227" s="411"/>
      <c r="EH227" s="411"/>
      <c r="EI227" s="411"/>
      <c r="EJ227" s="421"/>
      <c r="EK227" s="413"/>
      <c r="EL227" s="414"/>
      <c r="EM227" s="414"/>
      <c r="EN227" s="414"/>
      <c r="EO227" s="411"/>
      <c r="EP227" s="411"/>
      <c r="EQ227" s="411"/>
      <c r="ER227" s="421"/>
      <c r="ES227" s="413"/>
      <c r="ET227" s="414"/>
      <c r="EU227" s="414"/>
      <c r="EV227" s="414"/>
      <c r="EW227" s="411"/>
      <c r="EX227" s="411"/>
      <c r="EY227" s="411"/>
      <c r="EZ227" s="421"/>
      <c r="FA227" s="413"/>
      <c r="FB227" s="414"/>
      <c r="FC227" s="414"/>
      <c r="FD227" s="414"/>
      <c r="FE227" s="411"/>
      <c r="FF227" s="411"/>
      <c r="FG227" s="411"/>
      <c r="FH227" s="421"/>
      <c r="FI227" s="413"/>
      <c r="FJ227" s="414"/>
      <c r="FK227" s="414"/>
      <c r="FL227" s="414"/>
      <c r="FM227" s="411"/>
      <c r="FN227" s="411"/>
      <c r="FO227" s="411"/>
      <c r="FP227" s="421"/>
      <c r="FQ227" s="413"/>
      <c r="FR227" s="414"/>
      <c r="FS227" s="414"/>
      <c r="FT227" s="414"/>
      <c r="FU227" s="411"/>
      <c r="FV227" s="411"/>
      <c r="FW227" s="411"/>
      <c r="FX227" s="421"/>
      <c r="FY227" s="413"/>
      <c r="FZ227" s="414"/>
      <c r="GA227" s="414"/>
      <c r="GB227" s="414"/>
      <c r="GC227" s="411"/>
      <c r="GD227" s="411"/>
      <c r="GE227" s="411"/>
      <c r="GF227" s="421"/>
      <c r="GG227" s="413"/>
      <c r="GH227" s="414"/>
      <c r="GI227" s="414"/>
      <c r="GJ227" s="414"/>
      <c r="GK227" s="411"/>
      <c r="GL227" s="411"/>
      <c r="GM227" s="411"/>
      <c r="GN227" s="421"/>
      <c r="GO227" s="413"/>
      <c r="GP227" s="414"/>
      <c r="GQ227" s="414"/>
      <c r="GR227" s="414"/>
      <c r="GS227" s="411"/>
      <c r="GT227" s="411"/>
      <c r="GU227" s="411"/>
      <c r="GV227" s="421"/>
      <c r="GW227" s="413"/>
      <c r="GX227" s="414"/>
      <c r="GY227" s="414"/>
      <c r="GZ227" s="414"/>
      <c r="HA227" s="411"/>
      <c r="HB227" s="411"/>
      <c r="HC227" s="411"/>
      <c r="HD227" s="421"/>
      <c r="HE227" s="413"/>
      <c r="HF227" s="414"/>
      <c r="HG227" s="414"/>
      <c r="HH227" s="414"/>
      <c r="HI227" s="411"/>
      <c r="HJ227" s="411"/>
      <c r="HK227" s="411"/>
      <c r="HL227" s="421"/>
      <c r="HM227" s="413"/>
      <c r="HN227" s="414"/>
      <c r="HO227" s="414"/>
      <c r="HP227" s="414"/>
      <c r="HQ227" s="411"/>
      <c r="HR227" s="411"/>
      <c r="HS227" s="411"/>
      <c r="HT227" s="421"/>
      <c r="HU227" s="413"/>
      <c r="HV227" s="414"/>
      <c r="HW227" s="414"/>
      <c r="HX227" s="414"/>
      <c r="HY227" s="411"/>
      <c r="HZ227" s="411"/>
      <c r="IA227" s="411"/>
      <c r="IB227" s="421"/>
      <c r="IC227" s="413"/>
      <c r="ID227" s="414"/>
      <c r="IE227" s="414"/>
      <c r="IF227" s="414"/>
      <c r="IG227" s="411"/>
      <c r="IH227" s="411"/>
      <c r="II227" s="411"/>
      <c r="IJ227" s="421"/>
      <c r="IK227" s="413"/>
      <c r="IL227" s="414"/>
      <c r="IM227" s="414"/>
      <c r="IN227" s="414"/>
      <c r="IO227" s="411"/>
      <c r="IP227" s="411"/>
      <c r="IQ227" s="411"/>
      <c r="IR227" s="421"/>
      <c r="IS227" s="413"/>
      <c r="IT227" s="414"/>
      <c r="IU227" s="414"/>
      <c r="IV227" s="414"/>
    </row>
    <row r="228" spans="1:256" ht="44.25" customHeight="1">
      <c r="A228" s="434" t="s">
        <v>392</v>
      </c>
      <c r="B228" s="434"/>
      <c r="C228" s="434"/>
      <c r="D228" s="434"/>
      <c r="E228" s="434"/>
      <c r="F228" s="434"/>
      <c r="G228" s="434"/>
      <c r="H228" s="434"/>
      <c r="I228" s="435"/>
    </row>
    <row r="229" spans="1:256" ht="44.25" customHeight="1">
      <c r="A229" s="579" t="s">
        <v>257</v>
      </c>
      <c r="B229" s="580"/>
      <c r="C229" s="400" t="s">
        <v>151</v>
      </c>
      <c r="D229" s="400"/>
      <c r="E229" s="400" t="s">
        <v>152</v>
      </c>
      <c r="F229" s="400"/>
      <c r="G229" s="338" t="s">
        <v>150</v>
      </c>
      <c r="H229" s="339"/>
      <c r="I229" s="340"/>
    </row>
    <row r="230" spans="1:256" ht="39.75" customHeight="1">
      <c r="A230" s="360" t="s">
        <v>249</v>
      </c>
      <c r="B230" s="361"/>
      <c r="C230" s="377" t="s">
        <v>194</v>
      </c>
      <c r="D230" s="377"/>
      <c r="E230" s="341">
        <v>0</v>
      </c>
      <c r="F230" s="341"/>
      <c r="G230" s="341">
        <f>ROUND((1/1200)*E230,2)</f>
        <v>0</v>
      </c>
      <c r="H230" s="341"/>
      <c r="I230" s="397"/>
    </row>
    <row r="231" spans="1:256" ht="42" customHeight="1">
      <c r="A231" s="360" t="s">
        <v>236</v>
      </c>
      <c r="B231" s="361"/>
      <c r="C231" s="377" t="s">
        <v>191</v>
      </c>
      <c r="D231" s="377"/>
      <c r="E231" s="341">
        <f>I180</f>
        <v>2536.62</v>
      </c>
      <c r="F231" s="341"/>
      <c r="G231" s="341">
        <f>ROUND((1/1200)*E231,2)</f>
        <v>2.11</v>
      </c>
      <c r="H231" s="341"/>
      <c r="I231" s="397"/>
      <c r="J231" s="17"/>
    </row>
    <row r="232" spans="1:256" ht="16.5" customHeight="1">
      <c r="A232" s="370" t="s">
        <v>134</v>
      </c>
      <c r="B232" s="371"/>
      <c r="C232" s="372"/>
      <c r="D232" s="372"/>
      <c r="E232" s="372"/>
      <c r="F232" s="373"/>
      <c r="G232" s="469">
        <f>SUM(G230+G231)</f>
        <v>2.11</v>
      </c>
      <c r="H232" s="470"/>
      <c r="I232" s="471"/>
      <c r="J232" s="17"/>
    </row>
    <row r="233" spans="1:256" ht="8.25" customHeight="1">
      <c r="A233" s="378"/>
      <c r="B233" s="379"/>
      <c r="C233" s="380"/>
      <c r="D233" s="380"/>
      <c r="E233" s="380"/>
      <c r="F233" s="380"/>
      <c r="G233" s="380"/>
      <c r="H233" s="380"/>
      <c r="I233" s="337"/>
    </row>
    <row r="234" spans="1:256" ht="27.75" customHeight="1">
      <c r="A234" s="436" t="s">
        <v>250</v>
      </c>
      <c r="B234" s="437"/>
      <c r="C234" s="369" t="s">
        <v>195</v>
      </c>
      <c r="D234" s="369"/>
      <c r="E234" s="344">
        <v>0</v>
      </c>
      <c r="F234" s="344"/>
      <c r="G234" s="335">
        <f>ROUND((1/1200)*E234,2)</f>
        <v>0</v>
      </c>
      <c r="H234" s="336"/>
      <c r="I234" s="337"/>
    </row>
    <row r="235" spans="1:256" ht="27" customHeight="1">
      <c r="A235" s="360" t="s">
        <v>237</v>
      </c>
      <c r="B235" s="361"/>
      <c r="C235" s="381" t="s">
        <v>196</v>
      </c>
      <c r="D235" s="382"/>
      <c r="E235" s="341">
        <f>I180</f>
        <v>2536.62</v>
      </c>
      <c r="F235" s="341"/>
      <c r="G235" s="335">
        <f>ROUND((1/6000)*E235,2)</f>
        <v>0.42</v>
      </c>
      <c r="H235" s="336"/>
      <c r="I235" s="337"/>
    </row>
    <row r="236" spans="1:256" ht="16.5" customHeight="1">
      <c r="A236" s="370" t="s">
        <v>134</v>
      </c>
      <c r="B236" s="371"/>
      <c r="C236" s="372"/>
      <c r="D236" s="372"/>
      <c r="E236" s="372"/>
      <c r="F236" s="373"/>
      <c r="G236" s="357">
        <f>SUM(G234+G235)</f>
        <v>0.42</v>
      </c>
      <c r="H236" s="358"/>
      <c r="I236" s="340"/>
    </row>
    <row r="237" spans="1:256" ht="7.5" customHeight="1">
      <c r="A237" s="374"/>
      <c r="B237" s="375"/>
      <c r="C237" s="376"/>
      <c r="D237" s="376"/>
      <c r="E237" s="376"/>
      <c r="F237" s="376"/>
      <c r="G237" s="376"/>
      <c r="H237" s="376"/>
      <c r="I237" s="337"/>
    </row>
    <row r="238" spans="1:256" ht="34.5" customHeight="1">
      <c r="A238" s="404" t="s">
        <v>251</v>
      </c>
      <c r="B238" s="404"/>
      <c r="C238" s="369" t="s">
        <v>194</v>
      </c>
      <c r="D238" s="369"/>
      <c r="E238" s="344">
        <v>0</v>
      </c>
      <c r="F238" s="344"/>
      <c r="G238" s="341">
        <f>ROUND((1/1200)*E238,2)</f>
        <v>0</v>
      </c>
      <c r="H238" s="341"/>
      <c r="I238" s="397"/>
    </row>
    <row r="239" spans="1:256" ht="30" customHeight="1">
      <c r="A239" s="428" t="s">
        <v>238</v>
      </c>
      <c r="B239" s="428"/>
      <c r="C239" s="377" t="s">
        <v>191</v>
      </c>
      <c r="D239" s="377"/>
      <c r="E239" s="341">
        <f>I180</f>
        <v>2536.62</v>
      </c>
      <c r="F239" s="341"/>
      <c r="G239" s="341">
        <f>ROUND((1/1200)*E239,2)</f>
        <v>2.11</v>
      </c>
      <c r="H239" s="341"/>
      <c r="I239" s="397"/>
    </row>
    <row r="240" spans="1:256" ht="15.75" customHeight="1">
      <c r="A240" s="370" t="s">
        <v>134</v>
      </c>
      <c r="B240" s="371"/>
      <c r="C240" s="372"/>
      <c r="D240" s="372"/>
      <c r="E240" s="372"/>
      <c r="F240" s="373"/>
      <c r="G240" s="469">
        <f>SUM(G238+G239)</f>
        <v>2.11</v>
      </c>
      <c r="H240" s="470"/>
      <c r="I240" s="471"/>
    </row>
    <row r="241" spans="1:9" ht="6.75" customHeight="1">
      <c r="A241" s="374"/>
      <c r="B241" s="375"/>
      <c r="C241" s="376"/>
      <c r="D241" s="376"/>
      <c r="E241" s="376"/>
      <c r="F241" s="376"/>
      <c r="G241" s="376"/>
      <c r="H241" s="376"/>
      <c r="I241" s="337"/>
    </row>
    <row r="242" spans="1:9" ht="36" customHeight="1">
      <c r="A242" s="404" t="s">
        <v>213</v>
      </c>
      <c r="B242" s="404"/>
      <c r="C242" s="369" t="s">
        <v>194</v>
      </c>
      <c r="D242" s="369"/>
      <c r="E242" s="344">
        <v>0</v>
      </c>
      <c r="F242" s="344"/>
      <c r="G242" s="335">
        <f>ROUND((1/1200)*E242,2)</f>
        <v>0</v>
      </c>
      <c r="H242" s="336"/>
      <c r="I242" s="337"/>
    </row>
    <row r="243" spans="1:9" ht="36" customHeight="1">
      <c r="A243" s="428" t="s">
        <v>239</v>
      </c>
      <c r="B243" s="428"/>
      <c r="C243" s="377" t="s">
        <v>191</v>
      </c>
      <c r="D243" s="377"/>
      <c r="E243" s="341">
        <f>I180</f>
        <v>2536.62</v>
      </c>
      <c r="F243" s="341"/>
      <c r="G243" s="335">
        <f>ROUND((1/1200)*E243,2)</f>
        <v>2.11</v>
      </c>
      <c r="H243" s="336"/>
      <c r="I243" s="337"/>
    </row>
    <row r="244" spans="1:9" ht="13.5" customHeight="1">
      <c r="A244" s="370" t="s">
        <v>134</v>
      </c>
      <c r="B244" s="371"/>
      <c r="C244" s="372"/>
      <c r="D244" s="372"/>
      <c r="E244" s="372"/>
      <c r="F244" s="373"/>
      <c r="G244" s="357">
        <f>SUM(G242+G243)</f>
        <v>2.11</v>
      </c>
      <c r="H244" s="358"/>
      <c r="I244" s="340"/>
    </row>
    <row r="245" spans="1:9" ht="6.75" customHeight="1">
      <c r="A245" s="448"/>
      <c r="B245" s="449"/>
      <c r="C245" s="376"/>
      <c r="D245" s="376"/>
      <c r="E245" s="376"/>
      <c r="F245" s="376"/>
      <c r="G245" s="376"/>
      <c r="H245" s="376"/>
      <c r="I245" s="337"/>
    </row>
    <row r="246" spans="1:9" ht="30.75" customHeight="1">
      <c r="A246" s="404" t="s">
        <v>252</v>
      </c>
      <c r="B246" s="404"/>
      <c r="C246" s="369" t="s">
        <v>194</v>
      </c>
      <c r="D246" s="369"/>
      <c r="E246" s="344">
        <v>0</v>
      </c>
      <c r="F246" s="344"/>
      <c r="G246" s="335">
        <f>ROUND((1/1200)*E246,2)</f>
        <v>0</v>
      </c>
      <c r="H246" s="336"/>
      <c r="I246" s="337"/>
    </row>
    <row r="247" spans="1:9" ht="28.5" customHeight="1">
      <c r="A247" s="429" t="s">
        <v>240</v>
      </c>
      <c r="B247" s="429"/>
      <c r="C247" s="377" t="s">
        <v>191</v>
      </c>
      <c r="D247" s="377"/>
      <c r="E247" s="430">
        <f>I180</f>
        <v>2536.62</v>
      </c>
      <c r="F247" s="430"/>
      <c r="G247" s="335">
        <f>ROUND((1/1200)*E247,2)</f>
        <v>2.11</v>
      </c>
      <c r="H247" s="336"/>
      <c r="I247" s="337"/>
    </row>
    <row r="248" spans="1:9" ht="18" customHeight="1">
      <c r="A248" s="385" t="s">
        <v>134</v>
      </c>
      <c r="B248" s="386"/>
      <c r="C248" s="387"/>
      <c r="D248" s="387"/>
      <c r="E248" s="387"/>
      <c r="F248" s="396"/>
      <c r="G248" s="401">
        <f>SUM(G246+G247)</f>
        <v>2.11</v>
      </c>
      <c r="H248" s="402"/>
      <c r="I248" s="403"/>
    </row>
    <row r="249" spans="1:9" ht="12.75">
      <c r="A249" s="374"/>
      <c r="B249" s="375"/>
      <c r="C249" s="376"/>
      <c r="D249" s="376"/>
      <c r="E249" s="376"/>
      <c r="F249" s="376"/>
      <c r="G249" s="376"/>
      <c r="H249" s="376"/>
      <c r="I249" s="337"/>
    </row>
    <row r="250" spans="1:9" ht="39.75" customHeight="1">
      <c r="A250" s="404" t="s">
        <v>253</v>
      </c>
      <c r="B250" s="404"/>
      <c r="C250" s="369" t="s">
        <v>197</v>
      </c>
      <c r="D250" s="369"/>
      <c r="E250" s="344">
        <v>0</v>
      </c>
      <c r="F250" s="344"/>
      <c r="G250" s="335">
        <f>ROUND((1/1200)*E250,2)</f>
        <v>0</v>
      </c>
      <c r="H250" s="336"/>
      <c r="I250" s="337"/>
    </row>
    <row r="251" spans="1:9" ht="36.75" customHeight="1">
      <c r="A251" s="428" t="s">
        <v>241</v>
      </c>
      <c r="B251" s="428"/>
      <c r="C251" s="377" t="s">
        <v>198</v>
      </c>
      <c r="D251" s="377"/>
      <c r="E251" s="341">
        <f>I180</f>
        <v>2536.62</v>
      </c>
      <c r="F251" s="341"/>
      <c r="G251" s="335">
        <f>ROUND((1/100000)*E251,2)</f>
        <v>0.03</v>
      </c>
      <c r="H251" s="336"/>
      <c r="I251" s="337"/>
    </row>
    <row r="252" spans="1:9" ht="15.75" customHeight="1">
      <c r="A252" s="370" t="s">
        <v>134</v>
      </c>
      <c r="B252" s="371"/>
      <c r="C252" s="372"/>
      <c r="D252" s="372"/>
      <c r="E252" s="372"/>
      <c r="F252" s="373"/>
      <c r="G252" s="357">
        <f>SUM(G250+G251)</f>
        <v>0.03</v>
      </c>
      <c r="H252" s="358"/>
      <c r="I252" s="340"/>
    </row>
    <row r="253" spans="1:9" ht="12.75">
      <c r="A253" s="374"/>
      <c r="B253" s="375"/>
      <c r="C253" s="376"/>
      <c r="D253" s="376"/>
      <c r="E253" s="376"/>
      <c r="F253" s="376"/>
      <c r="G253" s="376"/>
      <c r="H253" s="376"/>
      <c r="I253" s="337"/>
    </row>
    <row r="254" spans="1:9" ht="12" customHeight="1">
      <c r="A254" s="422" t="s">
        <v>398</v>
      </c>
      <c r="B254" s="423"/>
      <c r="C254" s="423"/>
      <c r="D254" s="423"/>
      <c r="E254" s="423"/>
      <c r="F254" s="423"/>
      <c r="G254" s="423"/>
      <c r="H254" s="423"/>
      <c r="I254" s="424"/>
    </row>
    <row r="255" spans="1:9" ht="36.75" customHeight="1">
      <c r="A255" s="425"/>
      <c r="B255" s="426"/>
      <c r="C255" s="426"/>
      <c r="D255" s="426"/>
      <c r="E255" s="426"/>
      <c r="F255" s="426"/>
      <c r="G255" s="426"/>
      <c r="H255" s="426"/>
      <c r="I255" s="427"/>
    </row>
    <row r="256" spans="1:9" ht="69" customHeight="1">
      <c r="A256" s="36" t="s">
        <v>199</v>
      </c>
      <c r="B256" s="35" t="s">
        <v>200</v>
      </c>
      <c r="C256" s="35" t="s">
        <v>135</v>
      </c>
      <c r="D256" s="400" t="s">
        <v>147</v>
      </c>
      <c r="E256" s="400"/>
      <c r="F256" s="35" t="s">
        <v>399</v>
      </c>
      <c r="G256" s="35" t="s">
        <v>201</v>
      </c>
      <c r="H256" s="338" t="s">
        <v>332</v>
      </c>
      <c r="I256" s="399"/>
    </row>
    <row r="257" spans="1:9" ht="63" customHeight="1">
      <c r="A257" s="79" t="s">
        <v>254</v>
      </c>
      <c r="B257" s="27" t="s">
        <v>202</v>
      </c>
      <c r="C257" s="28" t="s">
        <v>309</v>
      </c>
      <c r="D257" s="405" t="s">
        <v>153</v>
      </c>
      <c r="E257" s="405"/>
      <c r="F257" s="29">
        <f>ROUND((1/(30*110))*16*(1/191.4),7)</f>
        <v>2.5299999999999998E-5</v>
      </c>
      <c r="G257" s="34">
        <v>0</v>
      </c>
      <c r="H257" s="335">
        <v>0</v>
      </c>
      <c r="I257" s="398"/>
    </row>
    <row r="258" spans="1:9" ht="51">
      <c r="A258" s="79" t="s">
        <v>242</v>
      </c>
      <c r="B258" s="27" t="s">
        <v>203</v>
      </c>
      <c r="C258" s="28" t="s">
        <v>309</v>
      </c>
      <c r="D258" s="405" t="s">
        <v>153</v>
      </c>
      <c r="E258" s="405"/>
      <c r="F258" s="29">
        <f>ROUND((1/110)*16*(1/191.4),7)</f>
        <v>7.6000000000000004E-4</v>
      </c>
      <c r="G258" s="34">
        <f>I180</f>
        <v>2536.62</v>
      </c>
      <c r="H258" s="335">
        <f>ROUND(F258*G258,2)</f>
        <v>1.93</v>
      </c>
      <c r="I258" s="398"/>
    </row>
    <row r="259" spans="1:9" ht="12.75">
      <c r="A259" s="370" t="s">
        <v>134</v>
      </c>
      <c r="B259" s="371"/>
      <c r="C259" s="372"/>
      <c r="D259" s="372"/>
      <c r="E259" s="372"/>
      <c r="F259" s="372"/>
      <c r="G259" s="337"/>
      <c r="H259" s="335">
        <f>SUM(H257+H258)</f>
        <v>1.93</v>
      </c>
      <c r="I259" s="398"/>
    </row>
    <row r="260" spans="1:9" ht="7.5" customHeight="1">
      <c r="A260" s="406"/>
      <c r="B260" s="407"/>
      <c r="C260" s="407"/>
      <c r="D260" s="407"/>
      <c r="E260" s="407"/>
      <c r="F260" s="407"/>
      <c r="G260" s="407"/>
      <c r="H260" s="407"/>
      <c r="I260" s="408"/>
    </row>
    <row r="261" spans="1:9" ht="51">
      <c r="A261" s="79" t="s">
        <v>255</v>
      </c>
      <c r="B261" s="74" t="s">
        <v>310</v>
      </c>
      <c r="C261" s="28" t="s">
        <v>309</v>
      </c>
      <c r="D261" s="405" t="s">
        <v>153</v>
      </c>
      <c r="E261" s="405"/>
      <c r="F261" s="29">
        <f>ROUND((1/(30*220))*16*(1/191.4),7)</f>
        <v>1.27E-5</v>
      </c>
      <c r="G261" s="34">
        <v>0</v>
      </c>
      <c r="H261" s="335">
        <v>0</v>
      </c>
      <c r="I261" s="398"/>
    </row>
    <row r="262" spans="1:9" ht="51">
      <c r="A262" s="79" t="s">
        <v>243</v>
      </c>
      <c r="B262" s="27" t="s">
        <v>205</v>
      </c>
      <c r="C262" s="28" t="s">
        <v>309</v>
      </c>
      <c r="D262" s="405" t="s">
        <v>153</v>
      </c>
      <c r="E262" s="405"/>
      <c r="F262" s="29">
        <f>ROUND((1/220)*16*(1/191.4),7)</f>
        <v>3.8000000000000002E-4</v>
      </c>
      <c r="G262" s="34">
        <f>I180</f>
        <v>2536.62</v>
      </c>
      <c r="H262" s="335">
        <f>ROUND(F262*G262,2)</f>
        <v>0.96</v>
      </c>
      <c r="I262" s="398"/>
    </row>
    <row r="263" spans="1:9" ht="12.75">
      <c r="A263" s="370" t="s">
        <v>134</v>
      </c>
      <c r="B263" s="371"/>
      <c r="C263" s="372"/>
      <c r="D263" s="372"/>
      <c r="E263" s="372"/>
      <c r="F263" s="372"/>
      <c r="G263" s="337"/>
      <c r="H263" s="335">
        <f>SUM(H261+H262)</f>
        <v>0.96</v>
      </c>
      <c r="I263" s="398"/>
    </row>
    <row r="264" spans="1:9" ht="6.75" customHeight="1">
      <c r="A264" s="406"/>
      <c r="B264" s="407"/>
      <c r="C264" s="407"/>
      <c r="D264" s="407"/>
      <c r="E264" s="407"/>
      <c r="F264" s="407"/>
      <c r="G264" s="407"/>
      <c r="H264" s="407"/>
      <c r="I264" s="408"/>
    </row>
    <row r="265" spans="1:9" ht="24" customHeight="1">
      <c r="A265" s="79" t="s">
        <v>256</v>
      </c>
      <c r="B265" s="27" t="s">
        <v>204</v>
      </c>
      <c r="C265" s="28" t="s">
        <v>309</v>
      </c>
      <c r="D265" s="405" t="s">
        <v>153</v>
      </c>
      <c r="E265" s="405"/>
      <c r="F265" s="29">
        <f>ROUND((1/(30*220))*16*(1/191.4),7)</f>
        <v>1.27E-5</v>
      </c>
      <c r="G265" s="34">
        <v>0</v>
      </c>
      <c r="H265" s="335">
        <v>0</v>
      </c>
      <c r="I265" s="398"/>
    </row>
    <row r="266" spans="1:9" ht="25.5">
      <c r="A266" s="79" t="s">
        <v>244</v>
      </c>
      <c r="B266" s="20" t="s">
        <v>205</v>
      </c>
      <c r="C266" s="21" t="s">
        <v>309</v>
      </c>
      <c r="D266" s="405" t="s">
        <v>153</v>
      </c>
      <c r="E266" s="405"/>
      <c r="F266" s="29">
        <f>ROUND((1/220)*16*(1/191.4),7)</f>
        <v>3.8000000000000002E-4</v>
      </c>
      <c r="G266" s="34">
        <f>I180</f>
        <v>2536.62</v>
      </c>
      <c r="H266" s="335">
        <f>ROUND(F266*G266,2)</f>
        <v>0.96</v>
      </c>
      <c r="I266" s="398"/>
    </row>
    <row r="267" spans="1:9" ht="12.75">
      <c r="A267" s="385" t="s">
        <v>134</v>
      </c>
      <c r="B267" s="386"/>
      <c r="C267" s="387"/>
      <c r="D267" s="387"/>
      <c r="E267" s="387"/>
      <c r="F267" s="387"/>
      <c r="G267" s="388"/>
      <c r="H267" s="409">
        <f>SUM(H265+H266)</f>
        <v>0.96</v>
      </c>
      <c r="I267" s="398"/>
    </row>
    <row r="268" spans="1:9" ht="12.75">
      <c r="A268" s="581"/>
      <c r="B268" s="407"/>
      <c r="C268" s="407"/>
      <c r="D268" s="407"/>
      <c r="E268" s="407"/>
      <c r="F268" s="407"/>
      <c r="G268" s="407"/>
      <c r="H268" s="407"/>
      <c r="I268" s="408"/>
    </row>
    <row r="269" spans="1:9" ht="25.5" customHeight="1">
      <c r="A269" s="383" t="s">
        <v>222</v>
      </c>
      <c r="B269" s="384"/>
      <c r="C269" s="384"/>
      <c r="D269" s="384"/>
      <c r="E269" s="384"/>
      <c r="F269" s="384"/>
      <c r="G269" s="384"/>
      <c r="H269" s="384"/>
      <c r="I269" s="384"/>
    </row>
    <row r="270" spans="1:9" ht="63.75">
      <c r="A270" s="37" t="s">
        <v>163</v>
      </c>
      <c r="B270" s="37" t="s">
        <v>217</v>
      </c>
      <c r="C270" s="37" t="s">
        <v>218</v>
      </c>
      <c r="D270" s="582" t="s">
        <v>219</v>
      </c>
      <c r="E270" s="582"/>
      <c r="F270" s="37" t="s">
        <v>400</v>
      </c>
      <c r="G270" s="37" t="s">
        <v>220</v>
      </c>
      <c r="H270" s="603" t="s">
        <v>221</v>
      </c>
      <c r="I270" s="399"/>
    </row>
    <row r="271" spans="1:9" ht="12.75">
      <c r="A271" s="31" t="s">
        <v>155</v>
      </c>
      <c r="B271" s="20" t="s">
        <v>313</v>
      </c>
      <c r="C271" s="21" t="s">
        <v>312</v>
      </c>
      <c r="D271" s="587" t="s">
        <v>316</v>
      </c>
      <c r="E271" s="587"/>
      <c r="F271" s="32">
        <f>ROUND((1/(4*110))*8*(1/1148.4),7)</f>
        <v>1.5800000000000001E-5</v>
      </c>
      <c r="G271" s="33">
        <v>0</v>
      </c>
      <c r="H271" s="389">
        <f>ROUND(F271*G271,2)</f>
        <v>0</v>
      </c>
      <c r="I271" s="390"/>
    </row>
    <row r="272" spans="1:9" ht="12.75">
      <c r="A272" s="31" t="s">
        <v>154</v>
      </c>
      <c r="B272" s="20" t="s">
        <v>203</v>
      </c>
      <c r="C272" s="21" t="s">
        <v>312</v>
      </c>
      <c r="D272" s="601" t="s">
        <v>316</v>
      </c>
      <c r="E272" s="602"/>
      <c r="F272" s="32">
        <f>ROUND((1/110)*8*(1/1148.4),7)</f>
        <v>6.3299999999999994E-5</v>
      </c>
      <c r="G272" s="33">
        <f>I180</f>
        <v>2536.62</v>
      </c>
      <c r="H272" s="389">
        <f>ROUND(F272*G272,2)</f>
        <v>0.16</v>
      </c>
      <c r="I272" s="390"/>
    </row>
    <row r="273" spans="1:9" ht="12.75">
      <c r="A273" s="492" t="s">
        <v>134</v>
      </c>
      <c r="B273" s="492"/>
      <c r="C273" s="604"/>
      <c r="D273" s="604"/>
      <c r="E273" s="604"/>
      <c r="F273" s="604"/>
      <c r="G273" s="649"/>
      <c r="H273" s="409">
        <f>SUM(H271+H272)</f>
        <v>0.16</v>
      </c>
      <c r="I273" s="398"/>
    </row>
    <row r="274" spans="1:9" ht="9" customHeight="1">
      <c r="A274" s="406"/>
      <c r="B274" s="407"/>
      <c r="C274" s="407"/>
      <c r="D274" s="407"/>
      <c r="E274" s="407"/>
      <c r="F274" s="407"/>
      <c r="G274" s="407"/>
      <c r="H274" s="407"/>
      <c r="I274" s="467"/>
    </row>
    <row r="275" spans="1:9">
      <c r="A275" s="438" t="s">
        <v>206</v>
      </c>
      <c r="B275" s="438"/>
      <c r="C275" s="438"/>
      <c r="D275" s="438"/>
      <c r="E275" s="438"/>
      <c r="F275" s="438"/>
      <c r="G275" s="438"/>
      <c r="H275" s="438"/>
      <c r="I275" s="474"/>
    </row>
    <row r="276" spans="1:9">
      <c r="A276" s="438"/>
      <c r="B276" s="438"/>
      <c r="C276" s="438"/>
      <c r="D276" s="438"/>
      <c r="E276" s="438"/>
      <c r="F276" s="438"/>
      <c r="G276" s="438"/>
      <c r="H276" s="438"/>
      <c r="I276" s="474"/>
    </row>
    <row r="277" spans="1:9" ht="12.75">
      <c r="A277" s="338" t="s">
        <v>163</v>
      </c>
      <c r="B277" s="447"/>
      <c r="C277" s="400" t="s">
        <v>148</v>
      </c>
      <c r="D277" s="338"/>
      <c r="E277" s="400" t="s">
        <v>149</v>
      </c>
      <c r="F277" s="400"/>
      <c r="G277" s="338" t="s">
        <v>150</v>
      </c>
      <c r="H277" s="339"/>
      <c r="I277" s="340"/>
    </row>
    <row r="278" spans="1:9" ht="12.75">
      <c r="A278" s="597" t="s">
        <v>155</v>
      </c>
      <c r="B278" s="598"/>
      <c r="C278" s="599" t="s">
        <v>207</v>
      </c>
      <c r="D278" s="600"/>
      <c r="E278" s="551">
        <v>0</v>
      </c>
      <c r="F278" s="552"/>
      <c r="G278" s="335">
        <v>0</v>
      </c>
      <c r="H278" s="586"/>
      <c r="I278" s="467"/>
    </row>
    <row r="279" spans="1:9" ht="12.75">
      <c r="A279" s="597" t="s">
        <v>154</v>
      </c>
      <c r="B279" s="598"/>
      <c r="C279" s="585" t="s">
        <v>187</v>
      </c>
      <c r="D279" s="586"/>
      <c r="E279" s="551">
        <v>0</v>
      </c>
      <c r="F279" s="552"/>
      <c r="G279" s="844">
        <v>0</v>
      </c>
      <c r="H279" s="600"/>
      <c r="I279" s="845"/>
    </row>
    <row r="280" spans="1:9" ht="12.75">
      <c r="A280" s="492" t="s">
        <v>134</v>
      </c>
      <c r="B280" s="492"/>
      <c r="C280" s="604"/>
      <c r="D280" s="604"/>
      <c r="E280" s="604"/>
      <c r="F280" s="604"/>
      <c r="G280" s="553">
        <f>SUM(G278+G279)</f>
        <v>0</v>
      </c>
      <c r="H280" s="554"/>
      <c r="I280" s="555"/>
    </row>
    <row r="281" spans="1:9" ht="9.75" customHeight="1">
      <c r="A281" s="556"/>
      <c r="B281" s="407"/>
      <c r="C281" s="407"/>
      <c r="D281" s="407"/>
      <c r="E281" s="407"/>
      <c r="F281" s="407"/>
      <c r="G281" s="407"/>
      <c r="H281" s="407"/>
      <c r="I281" s="467"/>
    </row>
    <row r="282" spans="1:9" ht="98.25" customHeight="1" thickBot="1">
      <c r="A282" s="557" t="s">
        <v>83</v>
      </c>
      <c r="B282" s="557"/>
      <c r="C282" s="557"/>
      <c r="D282" s="557"/>
      <c r="E282" s="557"/>
      <c r="F282" s="557"/>
      <c r="G282" s="557"/>
      <c r="H282" s="557"/>
      <c r="I282" s="557"/>
    </row>
    <row r="283" spans="1:9">
      <c r="A283" s="562" t="s">
        <v>111</v>
      </c>
      <c r="B283" s="563"/>
      <c r="C283" s="563"/>
      <c r="D283" s="563"/>
      <c r="E283" s="563"/>
      <c r="F283" s="563"/>
      <c r="G283" s="563"/>
      <c r="H283" s="563"/>
      <c r="I283" s="564"/>
    </row>
    <row r="284" spans="1:9" ht="12.75" thickBot="1">
      <c r="A284" s="565"/>
      <c r="B284" s="566"/>
      <c r="C284" s="566"/>
      <c r="D284" s="566"/>
      <c r="E284" s="566"/>
      <c r="F284" s="566"/>
      <c r="G284" s="566"/>
      <c r="H284" s="566"/>
      <c r="I284" s="567"/>
    </row>
    <row r="285" spans="1:9" ht="25.5">
      <c r="A285" s="560" t="s">
        <v>136</v>
      </c>
      <c r="B285" s="560"/>
      <c r="C285" s="560"/>
      <c r="D285" s="840" t="s">
        <v>137</v>
      </c>
      <c r="E285" s="840"/>
      <c r="F285" s="81" t="s">
        <v>208</v>
      </c>
      <c r="G285" s="841" t="s">
        <v>209</v>
      </c>
      <c r="H285" s="842"/>
      <c r="I285" s="843"/>
    </row>
    <row r="286" spans="1:9" ht="14.1" customHeight="1">
      <c r="A286" s="438" t="s">
        <v>167</v>
      </c>
      <c r="B286" s="438"/>
      <c r="C286" s="438"/>
      <c r="D286" s="558">
        <f>G206</f>
        <v>4.2300000000000004</v>
      </c>
      <c r="E286" s="559"/>
      <c r="F286" s="100">
        <f t="shared" ref="F286:F292" si="0">H14</f>
        <v>2000</v>
      </c>
      <c r="G286" s="487">
        <f t="shared" ref="G286:G291" si="1">ROUND(D286*F286,2)</f>
        <v>8460</v>
      </c>
      <c r="H286" s="487"/>
      <c r="I286" s="488"/>
    </row>
    <row r="287" spans="1:9" ht="14.1" customHeight="1">
      <c r="A287" s="438" t="s">
        <v>168</v>
      </c>
      <c r="B287" s="438"/>
      <c r="C287" s="438"/>
      <c r="D287" s="558">
        <f>G210</f>
        <v>4.2300000000000004</v>
      </c>
      <c r="E287" s="559"/>
      <c r="F287" s="100">
        <f t="shared" si="0"/>
        <v>4000</v>
      </c>
      <c r="G287" s="487">
        <f t="shared" si="1"/>
        <v>16920</v>
      </c>
      <c r="H287" s="487"/>
      <c r="I287" s="488"/>
    </row>
    <row r="288" spans="1:9" ht="14.1" customHeight="1">
      <c r="A288" s="438" t="s">
        <v>169</v>
      </c>
      <c r="B288" s="438"/>
      <c r="C288" s="438"/>
      <c r="D288" s="558">
        <v>0</v>
      </c>
      <c r="E288" s="559"/>
      <c r="F288" s="100">
        <f t="shared" si="0"/>
        <v>0</v>
      </c>
      <c r="G288" s="487">
        <f t="shared" si="1"/>
        <v>0</v>
      </c>
      <c r="H288" s="487"/>
      <c r="I288" s="488"/>
    </row>
    <row r="289" spans="1:11" ht="14.1" customHeight="1">
      <c r="A289" s="568" t="s">
        <v>170</v>
      </c>
      <c r="B289" s="569"/>
      <c r="C289" s="570"/>
      <c r="D289" s="558">
        <f>G218</f>
        <v>1.88</v>
      </c>
      <c r="E289" s="559"/>
      <c r="F289" s="100">
        <f t="shared" si="0"/>
        <v>400</v>
      </c>
      <c r="G289" s="487">
        <f t="shared" si="1"/>
        <v>752</v>
      </c>
      <c r="H289" s="487"/>
      <c r="I289" s="488"/>
    </row>
    <row r="290" spans="1:11" ht="14.1" customHeight="1">
      <c r="A290" s="438" t="s">
        <v>171</v>
      </c>
      <c r="B290" s="438"/>
      <c r="C290" s="438"/>
      <c r="D290" s="558">
        <v>0</v>
      </c>
      <c r="E290" s="559"/>
      <c r="F290" s="100">
        <f t="shared" si="0"/>
        <v>0</v>
      </c>
      <c r="G290" s="487">
        <f t="shared" si="1"/>
        <v>0</v>
      </c>
      <c r="H290" s="487"/>
      <c r="I290" s="488"/>
    </row>
    <row r="291" spans="1:11" ht="27" customHeight="1">
      <c r="A291" s="809" t="s">
        <v>172</v>
      </c>
      <c r="B291" s="838"/>
      <c r="C291" s="839"/>
      <c r="D291" s="558">
        <f>G226</f>
        <v>3.17</v>
      </c>
      <c r="E291" s="559"/>
      <c r="F291" s="100">
        <f t="shared" si="0"/>
        <v>600</v>
      </c>
      <c r="G291" s="487">
        <f t="shared" si="1"/>
        <v>1902</v>
      </c>
      <c r="H291" s="487"/>
      <c r="I291" s="488"/>
    </row>
    <row r="292" spans="1:11" ht="16.5" customHeight="1">
      <c r="A292" s="782" t="s">
        <v>173</v>
      </c>
      <c r="B292" s="820"/>
      <c r="C292" s="820"/>
      <c r="D292" s="820"/>
      <c r="E292" s="821"/>
      <c r="F292" s="80">
        <f t="shared" si="0"/>
        <v>7000</v>
      </c>
      <c r="G292" s="394">
        <f>SUM(G286:G291)</f>
        <v>28034</v>
      </c>
      <c r="H292" s="395"/>
      <c r="I292" s="396"/>
    </row>
    <row r="293" spans="1:11" ht="6.75" customHeight="1">
      <c r="A293" s="571"/>
      <c r="B293" s="572"/>
      <c r="C293" s="572"/>
      <c r="D293" s="572"/>
      <c r="E293" s="572"/>
      <c r="F293" s="572"/>
      <c r="G293" s="572"/>
      <c r="H293" s="572"/>
      <c r="I293" s="573"/>
    </row>
    <row r="294" spans="1:11" ht="24" customHeight="1">
      <c r="A294" s="819" t="s">
        <v>174</v>
      </c>
      <c r="B294" s="819"/>
      <c r="C294" s="819"/>
      <c r="D294" s="780">
        <f>G231</f>
        <v>2.11</v>
      </c>
      <c r="E294" s="781"/>
      <c r="F294" s="101">
        <f t="shared" ref="F294:F300" si="2">H22</f>
        <v>500</v>
      </c>
      <c r="G294" s="391">
        <f t="shared" ref="G294:G299" si="3">ROUND(D294*F294,2)</f>
        <v>1055</v>
      </c>
      <c r="H294" s="392"/>
      <c r="I294" s="393"/>
    </row>
    <row r="295" spans="1:11" ht="27.75" customHeight="1">
      <c r="A295" s="383" t="s">
        <v>93</v>
      </c>
      <c r="B295" s="383"/>
      <c r="C295" s="383"/>
      <c r="D295" s="442">
        <f>G235</f>
        <v>0.42</v>
      </c>
      <c r="E295" s="443"/>
      <c r="F295" s="102">
        <f t="shared" si="2"/>
        <v>1200</v>
      </c>
      <c r="G295" s="391">
        <f t="shared" si="3"/>
        <v>504</v>
      </c>
      <c r="H295" s="392"/>
      <c r="I295" s="393"/>
    </row>
    <row r="296" spans="1:11" ht="25.5" customHeight="1">
      <c r="A296" s="383" t="s">
        <v>94</v>
      </c>
      <c r="B296" s="383"/>
      <c r="C296" s="383"/>
      <c r="D296" s="442">
        <f>G239</f>
        <v>2.11</v>
      </c>
      <c r="E296" s="443"/>
      <c r="F296" s="102">
        <f t="shared" si="2"/>
        <v>100</v>
      </c>
      <c r="G296" s="391">
        <f t="shared" si="3"/>
        <v>211</v>
      </c>
      <c r="H296" s="392"/>
      <c r="I296" s="393"/>
    </row>
    <row r="297" spans="1:11" ht="24" customHeight="1">
      <c r="A297" s="383" t="s">
        <v>95</v>
      </c>
      <c r="B297" s="383"/>
      <c r="C297" s="383"/>
      <c r="D297" s="442">
        <f>G243</f>
        <v>2.11</v>
      </c>
      <c r="E297" s="443"/>
      <c r="F297" s="102">
        <f t="shared" si="2"/>
        <v>150</v>
      </c>
      <c r="G297" s="391">
        <f t="shared" si="3"/>
        <v>316.5</v>
      </c>
      <c r="H297" s="392"/>
      <c r="I297" s="393"/>
    </row>
    <row r="298" spans="1:11" ht="27" customHeight="1">
      <c r="A298" s="383" t="s">
        <v>96</v>
      </c>
      <c r="B298" s="383"/>
      <c r="C298" s="383"/>
      <c r="D298" s="442">
        <f>G247</f>
        <v>2.11</v>
      </c>
      <c r="E298" s="443"/>
      <c r="F298" s="102">
        <f t="shared" si="2"/>
        <v>250</v>
      </c>
      <c r="G298" s="391">
        <f t="shared" si="3"/>
        <v>527.5</v>
      </c>
      <c r="H298" s="392"/>
      <c r="I298" s="393"/>
    </row>
    <row r="299" spans="1:11" ht="26.25" customHeight="1">
      <c r="A299" s="383" t="s">
        <v>97</v>
      </c>
      <c r="B299" s="383"/>
      <c r="C299" s="383"/>
      <c r="D299" s="442">
        <f>G251</f>
        <v>0.03</v>
      </c>
      <c r="E299" s="443"/>
      <c r="F299" s="102">
        <f t="shared" si="2"/>
        <v>800</v>
      </c>
      <c r="G299" s="391">
        <f t="shared" si="3"/>
        <v>24</v>
      </c>
      <c r="H299" s="392"/>
      <c r="I299" s="393"/>
      <c r="K299" s="1">
        <f>K295</f>
        <v>0</v>
      </c>
    </row>
    <row r="300" spans="1:11" ht="12.75" customHeight="1">
      <c r="A300" s="782" t="s">
        <v>180</v>
      </c>
      <c r="B300" s="820"/>
      <c r="C300" s="820"/>
      <c r="D300" s="820"/>
      <c r="E300" s="821"/>
      <c r="F300" s="82">
        <f t="shared" si="2"/>
        <v>3000</v>
      </c>
      <c r="G300" s="394">
        <f>SUM(G294:G299)</f>
        <v>2638</v>
      </c>
      <c r="H300" s="395"/>
      <c r="I300" s="396"/>
    </row>
    <row r="301" spans="1:11" ht="9" customHeight="1">
      <c r="A301" s="574"/>
      <c r="B301" s="575"/>
      <c r="C301" s="575"/>
      <c r="D301" s="575"/>
      <c r="E301" s="575"/>
      <c r="F301" s="575"/>
      <c r="G301" s="575"/>
      <c r="H301" s="575"/>
      <c r="I301" s="573"/>
    </row>
    <row r="302" spans="1:11" ht="25.5" customHeight="1">
      <c r="A302" s="803" t="s">
        <v>181</v>
      </c>
      <c r="B302" s="804"/>
      <c r="C302" s="805"/>
      <c r="D302" s="780">
        <f>H258</f>
        <v>1.93</v>
      </c>
      <c r="E302" s="781"/>
      <c r="F302" s="49">
        <f>H30</f>
        <v>100</v>
      </c>
      <c r="G302" s="391">
        <f>ROUND(D302*F302,2)</f>
        <v>193</v>
      </c>
      <c r="H302" s="392"/>
      <c r="I302" s="393"/>
    </row>
    <row r="303" spans="1:11" ht="24" customHeight="1">
      <c r="A303" s="440" t="s">
        <v>98</v>
      </c>
      <c r="B303" s="434"/>
      <c r="C303" s="441"/>
      <c r="D303" s="442">
        <f>H262</f>
        <v>0.96</v>
      </c>
      <c r="E303" s="443"/>
      <c r="F303" s="100">
        <f>H31</f>
        <v>250</v>
      </c>
      <c r="G303" s="391">
        <f>ROUND((D303*F303),2)</f>
        <v>240</v>
      </c>
      <c r="H303" s="392"/>
      <c r="I303" s="393"/>
    </row>
    <row r="304" spans="1:11" ht="14.1" customHeight="1">
      <c r="A304" s="440" t="s">
        <v>99</v>
      </c>
      <c r="B304" s="434"/>
      <c r="C304" s="441"/>
      <c r="D304" s="442">
        <f>H266</f>
        <v>0.96</v>
      </c>
      <c r="E304" s="443"/>
      <c r="F304" s="100">
        <f>H32</f>
        <v>350</v>
      </c>
      <c r="G304" s="391">
        <f>ROUND((D304*F304),2)</f>
        <v>336</v>
      </c>
      <c r="H304" s="392"/>
      <c r="I304" s="393"/>
    </row>
    <row r="305" spans="1:9" ht="12.75">
      <c r="A305" s="782" t="s">
        <v>210</v>
      </c>
      <c r="B305" s="820"/>
      <c r="C305" s="820"/>
      <c r="D305" s="824"/>
      <c r="E305" s="825"/>
      <c r="F305" s="80">
        <f>H33</f>
        <v>700</v>
      </c>
      <c r="G305" s="394">
        <f>SUM(G302:G304)</f>
        <v>769</v>
      </c>
      <c r="H305" s="395"/>
      <c r="I305" s="396"/>
    </row>
    <row r="306" spans="1:9" ht="8.25" customHeight="1">
      <c r="A306" s="574"/>
      <c r="B306" s="572"/>
      <c r="C306" s="572"/>
      <c r="D306" s="572"/>
      <c r="E306" s="572"/>
      <c r="F306" s="572"/>
      <c r="G306" s="572"/>
      <c r="H306" s="572"/>
      <c r="I306" s="573"/>
    </row>
    <row r="307" spans="1:9" ht="14.1" customHeight="1">
      <c r="A307" s="790" t="s">
        <v>214</v>
      </c>
      <c r="B307" s="791"/>
      <c r="C307" s="792"/>
      <c r="D307" s="786">
        <f>H272</f>
        <v>0.16</v>
      </c>
      <c r="E307" s="787"/>
      <c r="F307" s="50">
        <f>H36</f>
        <v>70</v>
      </c>
      <c r="G307" s="583">
        <f>ROUND((D307*F307),2)</f>
        <v>11.2</v>
      </c>
      <c r="H307" s="371"/>
      <c r="I307" s="393"/>
    </row>
    <row r="308" spans="1:9" ht="12.75">
      <c r="A308" s="782" t="s">
        <v>223</v>
      </c>
      <c r="B308" s="783"/>
      <c r="C308" s="783"/>
      <c r="D308" s="784"/>
      <c r="E308" s="785"/>
      <c r="F308" s="80">
        <f>F307</f>
        <v>70</v>
      </c>
      <c r="G308" s="394">
        <f>G307</f>
        <v>11.2</v>
      </c>
      <c r="H308" s="387"/>
      <c r="I308" s="396"/>
    </row>
    <row r="309" spans="1:9" ht="6.75" customHeight="1">
      <c r="A309" s="574"/>
      <c r="B309" s="817"/>
      <c r="C309" s="817"/>
      <c r="D309" s="572"/>
      <c r="E309" s="572"/>
      <c r="F309" s="572"/>
      <c r="G309" s="572"/>
      <c r="H309" s="572"/>
      <c r="I309" s="573"/>
    </row>
    <row r="310" spans="1:9" ht="14.1" customHeight="1">
      <c r="A310" s="833" t="s">
        <v>184</v>
      </c>
      <c r="B310" s="445"/>
      <c r="C310" s="834"/>
      <c r="D310" s="835"/>
      <c r="E310" s="836"/>
      <c r="F310" s="49">
        <v>0</v>
      </c>
      <c r="G310" s="391">
        <v>0</v>
      </c>
      <c r="H310" s="392"/>
      <c r="I310" s="393"/>
    </row>
    <row r="311" spans="1:9" ht="14.1" customHeight="1">
      <c r="A311" s="826" t="s">
        <v>211</v>
      </c>
      <c r="B311" s="827"/>
      <c r="C311" s="827"/>
      <c r="D311" s="828"/>
      <c r="E311" s="829"/>
      <c r="F311" s="22">
        <f>H37</f>
        <v>0</v>
      </c>
      <c r="G311" s="583">
        <f>H310</f>
        <v>0</v>
      </c>
      <c r="H311" s="577"/>
      <c r="I311" s="373"/>
    </row>
    <row r="312" spans="1:9" ht="7.5" customHeight="1">
      <c r="A312" s="837"/>
      <c r="B312" s="407"/>
      <c r="C312" s="407"/>
      <c r="D312" s="407"/>
      <c r="E312" s="407"/>
      <c r="F312" s="407"/>
      <c r="G312" s="407"/>
      <c r="H312" s="407"/>
      <c r="I312" s="408"/>
    </row>
    <row r="313" spans="1:9" ht="12.75">
      <c r="A313" s="809" t="s">
        <v>92</v>
      </c>
      <c r="B313" s="810"/>
      <c r="C313" s="810"/>
      <c r="D313" s="811"/>
      <c r="E313" s="812"/>
      <c r="F313" s="100">
        <f>H39</f>
        <v>0</v>
      </c>
      <c r="G313" s="391">
        <f>H313</f>
        <v>0</v>
      </c>
      <c r="H313" s="392"/>
      <c r="I313" s="818"/>
    </row>
    <row r="314" spans="1:9" ht="12.75">
      <c r="A314" s="813" t="s">
        <v>90</v>
      </c>
      <c r="B314" s="814"/>
      <c r="C314" s="814"/>
      <c r="D314" s="814"/>
      <c r="E314" s="814"/>
      <c r="F314" s="118">
        <v>0</v>
      </c>
      <c r="G314" s="577">
        <f>G313</f>
        <v>0</v>
      </c>
      <c r="H314" s="372"/>
      <c r="I314" s="373"/>
    </row>
    <row r="315" spans="1:9" ht="7.5" customHeight="1">
      <c r="A315" s="806"/>
      <c r="B315" s="807"/>
      <c r="C315" s="807"/>
      <c r="D315" s="808"/>
      <c r="E315" s="808"/>
      <c r="F315" s="808"/>
      <c r="G315" s="808"/>
      <c r="H315" s="808"/>
      <c r="I315" s="467"/>
    </row>
    <row r="316" spans="1:9" ht="12.75">
      <c r="A316" s="815" t="s">
        <v>134</v>
      </c>
      <c r="B316" s="815"/>
      <c r="C316" s="815"/>
      <c r="D316" s="815"/>
      <c r="E316" s="816"/>
      <c r="F316" s="50">
        <f>ROUND(F292+F300+F305+F308+F311 + F314,2)</f>
        <v>10770</v>
      </c>
      <c r="G316" s="583">
        <f>SUM(G292+G300+G305+G308+G311 + G314)</f>
        <v>31452.2</v>
      </c>
      <c r="H316" s="577"/>
      <c r="I316" s="373"/>
    </row>
    <row r="317" spans="1:9" ht="6.75" customHeight="1">
      <c r="A317" s="830"/>
      <c r="B317" s="831"/>
      <c r="C317" s="831"/>
      <c r="D317" s="831"/>
      <c r="E317" s="831"/>
      <c r="F317" s="831"/>
      <c r="G317" s="831"/>
      <c r="H317" s="831"/>
      <c r="I317" s="832"/>
    </row>
    <row r="318" spans="1:9" ht="18.75" customHeight="1">
      <c r="A318" s="450" t="s">
        <v>124</v>
      </c>
      <c r="B318" s="450"/>
      <c r="C318" s="450"/>
      <c r="D318" s="450"/>
      <c r="E318" s="450"/>
      <c r="F318" s="450"/>
      <c r="G318" s="451">
        <f>G316</f>
        <v>31452.2</v>
      </c>
      <c r="H318" s="452"/>
      <c r="I318" s="453"/>
    </row>
    <row r="319" spans="1:9" ht="8.25" customHeight="1">
      <c r="A319" s="822"/>
      <c r="B319" s="823"/>
      <c r="C319" s="823"/>
      <c r="D319" s="823"/>
      <c r="E319" s="823"/>
      <c r="F319" s="823"/>
      <c r="G319" s="823"/>
      <c r="H319" s="823"/>
      <c r="I319" s="823"/>
    </row>
    <row r="320" spans="1:9" ht="19.5" customHeight="1">
      <c r="A320" s="795" t="s">
        <v>314</v>
      </c>
      <c r="B320" s="796"/>
      <c r="C320" s="796"/>
      <c r="D320" s="796"/>
      <c r="E320" s="796"/>
      <c r="F320" s="797"/>
      <c r="G320" s="800">
        <f>H11</f>
        <v>12</v>
      </c>
      <c r="H320" s="801"/>
      <c r="I320" s="802"/>
    </row>
    <row r="321" spans="1:9" ht="8.25" customHeight="1">
      <c r="A321" s="798"/>
      <c r="B321" s="799"/>
      <c r="C321" s="799"/>
      <c r="D321" s="799"/>
      <c r="E321" s="799"/>
      <c r="F321" s="799"/>
      <c r="G321" s="799"/>
      <c r="H321" s="799"/>
      <c r="I321" s="799"/>
    </row>
    <row r="322" spans="1:9" ht="31.5" customHeight="1">
      <c r="A322" s="774" t="s">
        <v>315</v>
      </c>
      <c r="B322" s="775"/>
      <c r="C322" s="775"/>
      <c r="D322" s="775"/>
      <c r="E322" s="775"/>
      <c r="F322" s="776"/>
      <c r="G322" s="777">
        <f>ROUND(G316*G320,2)</f>
        <v>377426.4</v>
      </c>
      <c r="H322" s="778"/>
      <c r="I322" s="779"/>
    </row>
    <row r="323" spans="1:9" ht="8.25" customHeight="1">
      <c r="A323" s="788"/>
      <c r="B323" s="789"/>
      <c r="C323" s="789"/>
      <c r="D323" s="789"/>
      <c r="E323" s="789"/>
      <c r="F323" s="789"/>
      <c r="G323" s="789"/>
      <c r="H323" s="789"/>
      <c r="I323" s="340"/>
    </row>
    <row r="324" spans="1:9" ht="29.25" customHeight="1">
      <c r="A324" s="793" t="s">
        <v>320</v>
      </c>
      <c r="B324" s="794"/>
      <c r="C324" s="794"/>
      <c r="D324" s="794"/>
      <c r="E324" s="794"/>
      <c r="F324" s="794"/>
      <c r="G324" s="794"/>
      <c r="H324" s="794"/>
      <c r="I324" s="467"/>
    </row>
    <row r="325" spans="1:9">
      <c r="A325" s="766" t="s">
        <v>166</v>
      </c>
      <c r="B325" s="767"/>
      <c r="C325" s="767"/>
      <c r="D325" s="768"/>
      <c r="E325" s="768"/>
      <c r="F325" s="768"/>
      <c r="G325" s="769"/>
      <c r="H325" s="605" t="s">
        <v>158</v>
      </c>
      <c r="I325" s="606"/>
    </row>
    <row r="326" spans="1:9">
      <c r="A326" s="770"/>
      <c r="B326" s="771"/>
      <c r="C326" s="771"/>
      <c r="D326" s="772"/>
      <c r="E326" s="772"/>
      <c r="F326" s="772"/>
      <c r="G326" s="773"/>
      <c r="H326" s="607"/>
      <c r="I326" s="608"/>
    </row>
    <row r="327" spans="1:9" ht="12.75">
      <c r="A327" s="761" t="s">
        <v>154</v>
      </c>
      <c r="B327" s="762"/>
      <c r="C327" s="762"/>
      <c r="D327" s="466"/>
      <c r="E327" s="466"/>
      <c r="F327" s="466"/>
      <c r="G327" s="467"/>
      <c r="H327" s="764"/>
      <c r="I327" s="765"/>
    </row>
    <row r="328" spans="1:9" ht="12.75">
      <c r="A328" s="761" t="s">
        <v>155</v>
      </c>
      <c r="B328" s="762"/>
      <c r="C328" s="762"/>
      <c r="D328" s="466"/>
      <c r="E328" s="466"/>
      <c r="F328" s="466"/>
      <c r="G328" s="467"/>
      <c r="H328" s="764"/>
      <c r="I328" s="765"/>
    </row>
    <row r="329" spans="1:9" ht="12.75">
      <c r="A329" s="440"/>
      <c r="B329" s="434"/>
      <c r="C329" s="434"/>
      <c r="D329" s="466"/>
      <c r="E329" s="466"/>
      <c r="F329" s="466"/>
      <c r="G329" s="466"/>
      <c r="H329" s="466"/>
      <c r="I329" s="467"/>
    </row>
    <row r="330" spans="1:9" ht="9" customHeight="1">
      <c r="A330" s="760"/>
      <c r="B330" s="760"/>
      <c r="C330" s="760"/>
      <c r="D330" s="760"/>
      <c r="E330" s="760"/>
      <c r="F330" s="760"/>
      <c r="G330" s="760"/>
      <c r="H330" s="760"/>
      <c r="I330" s="474"/>
    </row>
    <row r="331" spans="1:9" hidden="1">
      <c r="A331" s="760"/>
      <c r="B331" s="760"/>
      <c r="C331" s="760"/>
      <c r="D331" s="760"/>
      <c r="E331" s="760"/>
      <c r="F331" s="760"/>
      <c r="G331" s="760"/>
      <c r="H331" s="760"/>
      <c r="I331" s="474"/>
    </row>
    <row r="332" spans="1:9" ht="27" customHeight="1">
      <c r="A332" s="793" t="s">
        <v>329</v>
      </c>
      <c r="B332" s="794"/>
      <c r="C332" s="794"/>
      <c r="D332" s="794"/>
      <c r="E332" s="794"/>
      <c r="F332" s="794"/>
      <c r="G332" s="794"/>
      <c r="H332" s="794"/>
      <c r="I332" s="466"/>
    </row>
    <row r="333" spans="1:9" ht="12.75">
      <c r="A333" s="400" t="s">
        <v>212</v>
      </c>
      <c r="B333" s="400"/>
      <c r="C333" s="400"/>
      <c r="D333" s="400"/>
      <c r="E333" s="400"/>
      <c r="F333" s="400"/>
      <c r="G333" s="400"/>
      <c r="H333" s="338" t="s">
        <v>160</v>
      </c>
      <c r="I333" s="399"/>
    </row>
    <row r="334" spans="1:9" ht="15">
      <c r="A334" s="763"/>
      <c r="B334" s="763"/>
      <c r="C334" s="763"/>
      <c r="D334" s="443"/>
      <c r="E334" s="443"/>
      <c r="F334" s="443"/>
      <c r="G334" s="443"/>
      <c r="H334" s="576"/>
      <c r="I334" s="399"/>
    </row>
    <row r="335" spans="1:9" ht="12.75">
      <c r="A335" s="438"/>
      <c r="B335" s="438"/>
      <c r="C335" s="438"/>
      <c r="D335" s="439"/>
      <c r="E335" s="439"/>
      <c r="F335" s="439"/>
      <c r="G335" s="439"/>
      <c r="H335" s="576"/>
      <c r="I335" s="399"/>
    </row>
    <row r="336" spans="1:9" ht="12.75">
      <c r="A336" s="561"/>
      <c r="B336" s="561"/>
      <c r="C336" s="561"/>
      <c r="D336" s="439"/>
      <c r="E336" s="439"/>
      <c r="F336" s="439"/>
      <c r="G336" s="439"/>
      <c r="H336" s="576"/>
      <c r="I336" s="399"/>
    </row>
    <row r="337" spans="1:9" ht="12.75">
      <c r="A337" s="30"/>
      <c r="B337" s="30"/>
      <c r="C337" s="30"/>
      <c r="D337" s="30"/>
      <c r="E337" s="30"/>
      <c r="F337" s="30"/>
      <c r="G337" s="30"/>
      <c r="H337" s="30"/>
      <c r="I337" s="43"/>
    </row>
    <row r="338" spans="1:9" ht="12.75">
      <c r="A338" s="23"/>
      <c r="B338" s="23"/>
      <c r="C338" s="23"/>
      <c r="D338" s="23"/>
      <c r="E338" s="23"/>
      <c r="F338" s="23"/>
      <c r="G338" s="23"/>
      <c r="H338" s="23"/>
      <c r="I338" s="44"/>
    </row>
    <row r="339" spans="1:9" ht="12.75">
      <c r="A339" s="23"/>
      <c r="B339" s="23"/>
      <c r="C339" s="23"/>
      <c r="D339" s="23"/>
      <c r="E339" s="23"/>
      <c r="F339" s="23"/>
      <c r="G339" s="23"/>
      <c r="H339" s="23"/>
      <c r="I339" s="44"/>
    </row>
    <row r="340" spans="1:9" ht="12.75">
      <c r="A340" s="23"/>
      <c r="B340" s="23"/>
      <c r="C340" s="23"/>
      <c r="D340" s="23"/>
      <c r="E340" s="23"/>
      <c r="F340" s="23"/>
      <c r="G340" s="23"/>
      <c r="H340" s="23"/>
      <c r="I340" s="44"/>
    </row>
    <row r="341" spans="1:9" ht="12.75">
      <c r="A341" s="23"/>
      <c r="B341" s="23"/>
      <c r="C341" s="23"/>
      <c r="D341" s="23"/>
      <c r="E341" s="23"/>
      <c r="F341" s="23"/>
      <c r="G341" s="23"/>
      <c r="H341" s="23"/>
      <c r="I341" s="44"/>
    </row>
    <row r="342" spans="1:9" ht="12.75">
      <c r="A342" s="23"/>
      <c r="B342" s="23"/>
      <c r="C342" s="23"/>
      <c r="D342" s="23"/>
      <c r="E342" s="23"/>
      <c r="F342" s="23"/>
      <c r="G342" s="23"/>
      <c r="H342" s="23"/>
      <c r="I342" s="44"/>
    </row>
    <row r="343" spans="1:9" ht="12.75">
      <c r="A343" s="23"/>
      <c r="B343" s="23"/>
      <c r="C343" s="23"/>
      <c r="D343" s="23"/>
      <c r="E343" s="23"/>
      <c r="F343" s="23"/>
      <c r="G343" s="23"/>
      <c r="H343" s="23"/>
      <c r="I343" s="44"/>
    </row>
    <row r="344" spans="1:9" ht="12.75">
      <c r="A344" s="550"/>
      <c r="B344" s="550"/>
      <c r="C344" s="550"/>
      <c r="D344" s="550"/>
      <c r="E344" s="550"/>
      <c r="F344" s="550"/>
      <c r="G344" s="550"/>
      <c r="H344" s="550"/>
      <c r="I344" s="39"/>
    </row>
    <row r="345" spans="1:9" ht="12.75">
      <c r="A345" s="584"/>
      <c r="B345" s="584"/>
      <c r="C345" s="584"/>
      <c r="D345" s="25"/>
      <c r="E345" s="578"/>
      <c r="F345" s="578"/>
      <c r="G345" s="578"/>
      <c r="H345" s="578"/>
      <c r="I345" s="42"/>
    </row>
    <row r="346" spans="1:9" ht="12.75">
      <c r="A346" s="584"/>
      <c r="B346" s="584"/>
      <c r="C346" s="584"/>
      <c r="D346" s="18"/>
      <c r="E346" s="578"/>
      <c r="F346" s="578"/>
      <c r="G346" s="578"/>
      <c r="H346" s="578"/>
      <c r="I346" s="42"/>
    </row>
    <row r="347" spans="1:9" ht="12.75">
      <c r="A347" s="584"/>
      <c r="B347" s="584"/>
      <c r="C347" s="584"/>
      <c r="D347" s="18"/>
      <c r="E347" s="578"/>
      <c r="F347" s="578"/>
      <c r="G347" s="578"/>
      <c r="H347" s="578"/>
      <c r="I347" s="42"/>
    </row>
    <row r="348" spans="1:9" ht="12.75">
      <c r="A348" s="584"/>
      <c r="B348" s="584"/>
      <c r="C348" s="584"/>
      <c r="D348" s="18"/>
      <c r="E348" s="578"/>
      <c r="F348" s="578"/>
      <c r="G348" s="578"/>
      <c r="H348" s="578"/>
      <c r="I348" s="42"/>
    </row>
    <row r="349" spans="1:9" ht="12.75">
      <c r="A349" s="584"/>
      <c r="B349" s="584"/>
      <c r="C349" s="584"/>
      <c r="D349" s="18"/>
      <c r="E349" s="578"/>
      <c r="F349" s="578"/>
      <c r="G349" s="578"/>
      <c r="H349" s="578"/>
      <c r="I349" s="42"/>
    </row>
    <row r="350" spans="1:9">
      <c r="A350" s="414"/>
      <c r="B350" s="414"/>
      <c r="C350" s="414"/>
      <c r="D350" s="414"/>
      <c r="E350" s="414"/>
      <c r="F350" s="414"/>
      <c r="G350" s="414"/>
      <c r="H350" s="414"/>
      <c r="I350" s="45"/>
    </row>
  </sheetData>
  <mergeCells count="627">
    <mergeCell ref="A333:G333"/>
    <mergeCell ref="G292:I292"/>
    <mergeCell ref="A299:C299"/>
    <mergeCell ref="A289:C289"/>
    <mergeCell ref="A301:I301"/>
    <mergeCell ref="A300:E300"/>
    <mergeCell ref="A297:C297"/>
    <mergeCell ref="D297:E297"/>
    <mergeCell ref="G310:I310"/>
    <mergeCell ref="G313:I313"/>
    <mergeCell ref="A314:E314"/>
    <mergeCell ref="A317:I317"/>
    <mergeCell ref="A310:C310"/>
    <mergeCell ref="D310:E310"/>
    <mergeCell ref="A312:I312"/>
    <mergeCell ref="A311:E311"/>
    <mergeCell ref="G311:I311"/>
    <mergeCell ref="G307:I307"/>
    <mergeCell ref="A320:F320"/>
    <mergeCell ref="G308:I308"/>
    <mergeCell ref="G300:I300"/>
    <mergeCell ref="H333:I333"/>
    <mergeCell ref="A298:C298"/>
    <mergeCell ref="D298:E298"/>
    <mergeCell ref="H271:I271"/>
    <mergeCell ref="A277:B277"/>
    <mergeCell ref="H272:I272"/>
    <mergeCell ref="A278:B278"/>
    <mergeCell ref="D289:E289"/>
    <mergeCell ref="G290:I290"/>
    <mergeCell ref="D299:E299"/>
    <mergeCell ref="D288:E288"/>
    <mergeCell ref="A287:C287"/>
    <mergeCell ref="D287:E287"/>
    <mergeCell ref="G286:I286"/>
    <mergeCell ref="G297:I297"/>
    <mergeCell ref="G298:I298"/>
    <mergeCell ref="G299:I299"/>
    <mergeCell ref="A292:E292"/>
    <mergeCell ref="A294:C294"/>
    <mergeCell ref="A295:C295"/>
    <mergeCell ref="D294:E294"/>
    <mergeCell ref="A293:I293"/>
    <mergeCell ref="D295:E295"/>
    <mergeCell ref="G287:I287"/>
    <mergeCell ref="A279:B279"/>
    <mergeCell ref="A12:I12"/>
    <mergeCell ref="A13:E13"/>
    <mergeCell ref="F13:G13"/>
    <mergeCell ref="B88:H88"/>
    <mergeCell ref="A21:I21"/>
    <mergeCell ref="B86:H86"/>
    <mergeCell ref="H334:I334"/>
    <mergeCell ref="H327:I327"/>
    <mergeCell ref="H328:I328"/>
    <mergeCell ref="A325:G326"/>
    <mergeCell ref="D296:E296"/>
    <mergeCell ref="A329:I329"/>
    <mergeCell ref="A334:G334"/>
    <mergeCell ref="H270:I270"/>
    <mergeCell ref="H325:I326"/>
    <mergeCell ref="A332:I332"/>
    <mergeCell ref="G295:I295"/>
    <mergeCell ref="G296:I296"/>
    <mergeCell ref="G288:I288"/>
    <mergeCell ref="G289:I289"/>
    <mergeCell ref="G294:I294"/>
    <mergeCell ref="A327:G327"/>
    <mergeCell ref="A328:G328"/>
    <mergeCell ref="A296:C296"/>
    <mergeCell ref="A169:I169"/>
    <mergeCell ref="B159:G159"/>
    <mergeCell ref="A154:G154"/>
    <mergeCell ref="A164:I164"/>
    <mergeCell ref="B157:G157"/>
    <mergeCell ref="A119:I119"/>
    <mergeCell ref="B135:H135"/>
    <mergeCell ref="A4:E4"/>
    <mergeCell ref="A5:E5"/>
    <mergeCell ref="A55:I55"/>
    <mergeCell ref="A56:I56"/>
    <mergeCell ref="A6:I6"/>
    <mergeCell ref="A7:I7"/>
    <mergeCell ref="B8:G8"/>
    <mergeCell ref="H8:I8"/>
    <mergeCell ref="A112:H112"/>
    <mergeCell ref="B11:G11"/>
    <mergeCell ref="H11:I11"/>
    <mergeCell ref="B10:G10"/>
    <mergeCell ref="H10:I10"/>
    <mergeCell ref="B9:G9"/>
    <mergeCell ref="H9:I9"/>
    <mergeCell ref="B101:C101"/>
    <mergeCell ref="B102:G102"/>
    <mergeCell ref="H13:I13"/>
    <mergeCell ref="A15:E15"/>
    <mergeCell ref="F16:G16"/>
    <mergeCell ref="H19:I19"/>
    <mergeCell ref="H20:I20"/>
    <mergeCell ref="A17:E17"/>
    <mergeCell ref="A18:E18"/>
    <mergeCell ref="A19:E19"/>
    <mergeCell ref="F17:G17"/>
    <mergeCell ref="F18:G18"/>
    <mergeCell ref="F19:G19"/>
    <mergeCell ref="F14:G14"/>
    <mergeCell ref="H14:I14"/>
    <mergeCell ref="A14:E14"/>
    <mergeCell ref="H15:I15"/>
    <mergeCell ref="F15:G15"/>
    <mergeCell ref="A20:G20"/>
    <mergeCell ref="A224:B224"/>
    <mergeCell ref="G224:I224"/>
    <mergeCell ref="E224:F224"/>
    <mergeCell ref="A251:B251"/>
    <mergeCell ref="G247:I247"/>
    <mergeCell ref="A247:B247"/>
    <mergeCell ref="A254:I255"/>
    <mergeCell ref="A252:F252"/>
    <mergeCell ref="A226:F226"/>
    <mergeCell ref="A230:B230"/>
    <mergeCell ref="C230:D230"/>
    <mergeCell ref="C229:D229"/>
    <mergeCell ref="C234:D234"/>
    <mergeCell ref="E234:F234"/>
    <mergeCell ref="G244:I244"/>
    <mergeCell ref="A245:I245"/>
    <mergeCell ref="G243:I243"/>
    <mergeCell ref="G239:I239"/>
    <mergeCell ref="E239:F239"/>
    <mergeCell ref="A244:F244"/>
    <mergeCell ref="A241:I241"/>
    <mergeCell ref="A234:B234"/>
    <mergeCell ref="C239:D239"/>
    <mergeCell ref="G242:I242"/>
    <mergeCell ref="E217:F217"/>
    <mergeCell ref="A49:I49"/>
    <mergeCell ref="B70:G70"/>
    <mergeCell ref="A82:I82"/>
    <mergeCell ref="B73:G73"/>
    <mergeCell ref="B71:G71"/>
    <mergeCell ref="A110:H110"/>
    <mergeCell ref="B116:H116"/>
    <mergeCell ref="A114:I114"/>
    <mergeCell ref="B109:H109"/>
    <mergeCell ref="A103:G103"/>
    <mergeCell ref="B108:H108"/>
    <mergeCell ref="A113:I113"/>
    <mergeCell ref="B115:H115"/>
    <mergeCell ref="B78:H78"/>
    <mergeCell ref="A106:I106"/>
    <mergeCell ref="B96:G96"/>
    <mergeCell ref="B97:G97"/>
    <mergeCell ref="B98:G98"/>
    <mergeCell ref="B99:G99"/>
    <mergeCell ref="B79:H79"/>
    <mergeCell ref="A80:I80"/>
    <mergeCell ref="A83:I83"/>
    <mergeCell ref="B84:H84"/>
    <mergeCell ref="B87:H87"/>
    <mergeCell ref="B76:H76"/>
    <mergeCell ref="B60:G60"/>
    <mergeCell ref="B61:G61"/>
    <mergeCell ref="H52:I52"/>
    <mergeCell ref="B62:H62"/>
    <mergeCell ref="B53:G53"/>
    <mergeCell ref="A57:I57"/>
    <mergeCell ref="A54:I54"/>
    <mergeCell ref="H53:I53"/>
    <mergeCell ref="B52:G52"/>
    <mergeCell ref="B68:H68"/>
    <mergeCell ref="B69:H69"/>
    <mergeCell ref="B72:H72"/>
    <mergeCell ref="B64:H64"/>
    <mergeCell ref="B74:H74"/>
    <mergeCell ref="A67:I67"/>
    <mergeCell ref="A66:H66"/>
    <mergeCell ref="B59:H59"/>
    <mergeCell ref="B65:H65"/>
    <mergeCell ref="B63:H63"/>
    <mergeCell ref="B58:G58"/>
    <mergeCell ref="D261:E261"/>
    <mergeCell ref="H261:I261"/>
    <mergeCell ref="A260:I260"/>
    <mergeCell ref="D262:E262"/>
    <mergeCell ref="D271:E271"/>
    <mergeCell ref="G279:I279"/>
    <mergeCell ref="A285:C285"/>
    <mergeCell ref="D256:E256"/>
    <mergeCell ref="C247:D247"/>
    <mergeCell ref="E247:F247"/>
    <mergeCell ref="A248:F248"/>
    <mergeCell ref="C251:D251"/>
    <mergeCell ref="E251:F251"/>
    <mergeCell ref="G248:I248"/>
    <mergeCell ref="E250:F250"/>
    <mergeCell ref="G250:I250"/>
    <mergeCell ref="C250:D250"/>
    <mergeCell ref="A249:I249"/>
    <mergeCell ref="H256:I256"/>
    <mergeCell ref="G251:I251"/>
    <mergeCell ref="A253:I253"/>
    <mergeCell ref="D265:E265"/>
    <mergeCell ref="A267:G267"/>
    <mergeCell ref="A269:I269"/>
    <mergeCell ref="DA49:DH49"/>
    <mergeCell ref="EG49:EN49"/>
    <mergeCell ref="EO49:EV49"/>
    <mergeCell ref="EW49:FD49"/>
    <mergeCell ref="IG49:IN49"/>
    <mergeCell ref="FE49:FL49"/>
    <mergeCell ref="FM49:FT49"/>
    <mergeCell ref="FU49:GB49"/>
    <mergeCell ref="GC49:GJ49"/>
    <mergeCell ref="IO49:IV49"/>
    <mergeCell ref="GK49:GR49"/>
    <mergeCell ref="GS49:GZ49"/>
    <mergeCell ref="HA49:HH49"/>
    <mergeCell ref="HI49:HP49"/>
    <mergeCell ref="HQ49:HX49"/>
    <mergeCell ref="HY49:IF49"/>
    <mergeCell ref="DQ49:DX49"/>
    <mergeCell ref="DY49:EF49"/>
    <mergeCell ref="A350:H350"/>
    <mergeCell ref="A208:B208"/>
    <mergeCell ref="C208:D208"/>
    <mergeCell ref="E208:F208"/>
    <mergeCell ref="A210:F210"/>
    <mergeCell ref="A212:B212"/>
    <mergeCell ref="C212:D212"/>
    <mergeCell ref="E212:F212"/>
    <mergeCell ref="A213:B213"/>
    <mergeCell ref="C213:D213"/>
    <mergeCell ref="D272:E272"/>
    <mergeCell ref="A274:I274"/>
    <mergeCell ref="E278:F278"/>
    <mergeCell ref="A273:G273"/>
    <mergeCell ref="A275:I276"/>
    <mergeCell ref="A264:I264"/>
    <mergeCell ref="D270:E270"/>
    <mergeCell ref="E345:H349"/>
    <mergeCell ref="A344:H344"/>
    <mergeCell ref="E229:F229"/>
    <mergeCell ref="A250:B250"/>
    <mergeCell ref="A268:I268"/>
    <mergeCell ref="D266:E266"/>
    <mergeCell ref="E279:F279"/>
    <mergeCell ref="BM49:BT49"/>
    <mergeCell ref="BU49:CB49"/>
    <mergeCell ref="DI49:DP49"/>
    <mergeCell ref="CC49:CJ49"/>
    <mergeCell ref="CK49:CR49"/>
    <mergeCell ref="AO49:AV49"/>
    <mergeCell ref="A243:B243"/>
    <mergeCell ref="C243:D243"/>
    <mergeCell ref="E243:F243"/>
    <mergeCell ref="A240:F240"/>
    <mergeCell ref="AW49:BD49"/>
    <mergeCell ref="A206:F206"/>
    <mergeCell ref="A220:B220"/>
    <mergeCell ref="C220:D220"/>
    <mergeCell ref="E220:F220"/>
    <mergeCell ref="G210:I210"/>
    <mergeCell ref="A225:B225"/>
    <mergeCell ref="A221:B221"/>
    <mergeCell ref="C224:D224"/>
    <mergeCell ref="A222:F222"/>
    <mergeCell ref="C225:D225"/>
    <mergeCell ref="E225:F225"/>
    <mergeCell ref="B95:G95"/>
    <mergeCell ref="CS49:CZ49"/>
    <mergeCell ref="H336:I336"/>
    <mergeCell ref="H335:I335"/>
    <mergeCell ref="A330:I331"/>
    <mergeCell ref="G314:I314"/>
    <mergeCell ref="A323:I323"/>
    <mergeCell ref="A316:E316"/>
    <mergeCell ref="A322:F322"/>
    <mergeCell ref="A324:I324"/>
    <mergeCell ref="BE49:BL49"/>
    <mergeCell ref="H266:I266"/>
    <mergeCell ref="H267:I267"/>
    <mergeCell ref="A280:F280"/>
    <mergeCell ref="E277:F277"/>
    <mergeCell ref="G277:I277"/>
    <mergeCell ref="C277:D277"/>
    <mergeCell ref="G285:I285"/>
    <mergeCell ref="D257:E257"/>
    <mergeCell ref="D258:E258"/>
    <mergeCell ref="H257:I257"/>
    <mergeCell ref="H258:I258"/>
    <mergeCell ref="A259:G259"/>
    <mergeCell ref="A263:G263"/>
    <mergeCell ref="H262:I262"/>
    <mergeCell ref="H263:I263"/>
    <mergeCell ref="A349:C349"/>
    <mergeCell ref="A345:C345"/>
    <mergeCell ref="A346:C346"/>
    <mergeCell ref="A347:C347"/>
    <mergeCell ref="A348:C348"/>
    <mergeCell ref="A336:G336"/>
    <mergeCell ref="A306:I306"/>
    <mergeCell ref="G302:I302"/>
    <mergeCell ref="G303:I303"/>
    <mergeCell ref="G316:I316"/>
    <mergeCell ref="G322:I322"/>
    <mergeCell ref="A319:I319"/>
    <mergeCell ref="A305:E305"/>
    <mergeCell ref="A302:C302"/>
    <mergeCell ref="D302:E302"/>
    <mergeCell ref="A308:E308"/>
    <mergeCell ref="A321:I321"/>
    <mergeCell ref="G320:I320"/>
    <mergeCell ref="A318:F318"/>
    <mergeCell ref="G318:I318"/>
    <mergeCell ref="A307:C307"/>
    <mergeCell ref="A315:I315"/>
    <mergeCell ref="A313:E313"/>
    <mergeCell ref="A309:I309"/>
    <mergeCell ref="E209:F209"/>
    <mergeCell ref="A223:I223"/>
    <mergeCell ref="A227:I227"/>
    <mergeCell ref="G225:I225"/>
    <mergeCell ref="A215:I215"/>
    <mergeCell ref="C221:D221"/>
    <mergeCell ref="A233:I233"/>
    <mergeCell ref="A232:F232"/>
    <mergeCell ref="G231:I231"/>
    <mergeCell ref="G226:I226"/>
    <mergeCell ref="E230:F230"/>
    <mergeCell ref="G230:I230"/>
    <mergeCell ref="A228:I228"/>
    <mergeCell ref="G229:I229"/>
    <mergeCell ref="E231:F231"/>
    <mergeCell ref="A231:B231"/>
    <mergeCell ref="G214:I214"/>
    <mergeCell ref="A211:I211"/>
    <mergeCell ref="C209:D209"/>
    <mergeCell ref="E213:F213"/>
    <mergeCell ref="G212:I212"/>
    <mergeCell ref="G213:I213"/>
    <mergeCell ref="A216:B216"/>
    <mergeCell ref="A229:B229"/>
    <mergeCell ref="A178:H178"/>
    <mergeCell ref="A180:H180"/>
    <mergeCell ref="B111:H111"/>
    <mergeCell ref="A91:I91"/>
    <mergeCell ref="C166:I166"/>
    <mergeCell ref="A165:G165"/>
    <mergeCell ref="A166:B168"/>
    <mergeCell ref="C167:I167"/>
    <mergeCell ref="A93:I93"/>
    <mergeCell ref="B94:G94"/>
    <mergeCell ref="B179:H179"/>
    <mergeCell ref="B174:H174"/>
    <mergeCell ref="B175:H175"/>
    <mergeCell ref="B144:H144"/>
    <mergeCell ref="A171:I171"/>
    <mergeCell ref="A148:I148"/>
    <mergeCell ref="B149:G149"/>
    <mergeCell ref="B151:G151"/>
    <mergeCell ref="A150:G150"/>
    <mergeCell ref="A152:G152"/>
    <mergeCell ref="B162:G162"/>
    <mergeCell ref="A170:I170"/>
    <mergeCell ref="A107:I107"/>
    <mergeCell ref="A127:H127"/>
    <mergeCell ref="C183:D183"/>
    <mergeCell ref="F184:G184"/>
    <mergeCell ref="F185:G185"/>
    <mergeCell ref="F186:G186"/>
    <mergeCell ref="A188:I188"/>
    <mergeCell ref="A189:I189"/>
    <mergeCell ref="A182:I182"/>
    <mergeCell ref="C185:D185"/>
    <mergeCell ref="C186:D186"/>
    <mergeCell ref="A183:B183"/>
    <mergeCell ref="F183:G183"/>
    <mergeCell ref="A187:H187"/>
    <mergeCell ref="A185:B185"/>
    <mergeCell ref="A205:B205"/>
    <mergeCell ref="A203:B203"/>
    <mergeCell ref="E203:F203"/>
    <mergeCell ref="A186:B186"/>
    <mergeCell ref="A190:H190"/>
    <mergeCell ref="A184:B184"/>
    <mergeCell ref="C184:D184"/>
    <mergeCell ref="C203:D203"/>
    <mergeCell ref="A199:I199"/>
    <mergeCell ref="A202:I202"/>
    <mergeCell ref="G203:I203"/>
    <mergeCell ref="A195:I195"/>
    <mergeCell ref="A196:I196"/>
    <mergeCell ref="A191:H191"/>
    <mergeCell ref="A193:H193"/>
    <mergeCell ref="A198:I198"/>
    <mergeCell ref="A201:I201"/>
    <mergeCell ref="A194:I194"/>
    <mergeCell ref="C204:D204"/>
    <mergeCell ref="E204:F204"/>
    <mergeCell ref="B153:G153"/>
    <mergeCell ref="A147:H147"/>
    <mergeCell ref="A173:H173"/>
    <mergeCell ref="A172:I172"/>
    <mergeCell ref="C168:I168"/>
    <mergeCell ref="B100:G100"/>
    <mergeCell ref="B141:H141"/>
    <mergeCell ref="B117:H117"/>
    <mergeCell ref="B125:H125"/>
    <mergeCell ref="B133:H133"/>
    <mergeCell ref="A105:I105"/>
    <mergeCell ref="B121:H121"/>
    <mergeCell ref="B122:H122"/>
    <mergeCell ref="B129:H129"/>
    <mergeCell ref="B123:H123"/>
    <mergeCell ref="B124:H124"/>
    <mergeCell ref="A128:I128"/>
    <mergeCell ref="B158:G158"/>
    <mergeCell ref="B155:G155"/>
    <mergeCell ref="B161:G161"/>
    <mergeCell ref="B156:G156"/>
    <mergeCell ref="B146:H146"/>
    <mergeCell ref="B145:H145"/>
    <mergeCell ref="B131:H131"/>
    <mergeCell ref="A46:I46"/>
    <mergeCell ref="AG49:AN49"/>
    <mergeCell ref="J49:P49"/>
    <mergeCell ref="H50:I50"/>
    <mergeCell ref="B50:G50"/>
    <mergeCell ref="Q49:X49"/>
    <mergeCell ref="Y49:AF49"/>
    <mergeCell ref="H51:I51"/>
    <mergeCell ref="A138:H138"/>
    <mergeCell ref="B85:H85"/>
    <mergeCell ref="A81:I81"/>
    <mergeCell ref="B120:H120"/>
    <mergeCell ref="A118:H118"/>
    <mergeCell ref="B137:H137"/>
    <mergeCell ref="B126:H126"/>
    <mergeCell ref="B130:H130"/>
    <mergeCell ref="B132:H132"/>
    <mergeCell ref="A136:H136"/>
    <mergeCell ref="B134:H134"/>
    <mergeCell ref="A89:H89"/>
    <mergeCell ref="A90:I90"/>
    <mergeCell ref="B77:H77"/>
    <mergeCell ref="B51:G51"/>
    <mergeCell ref="B75:H75"/>
    <mergeCell ref="A45:I45"/>
    <mergeCell ref="A48:I48"/>
    <mergeCell ref="A47:I47"/>
    <mergeCell ref="F30:G30"/>
    <mergeCell ref="F25:G25"/>
    <mergeCell ref="A30:E30"/>
    <mergeCell ref="H33:I33"/>
    <mergeCell ref="H31:I31"/>
    <mergeCell ref="A34:I34"/>
    <mergeCell ref="A26:E26"/>
    <mergeCell ref="F26:G26"/>
    <mergeCell ref="A27:E27"/>
    <mergeCell ref="F27:G27"/>
    <mergeCell ref="A31:E31"/>
    <mergeCell ref="F31:G31"/>
    <mergeCell ref="H44:I44"/>
    <mergeCell ref="H36:I36"/>
    <mergeCell ref="A44:G44"/>
    <mergeCell ref="A35:E35"/>
    <mergeCell ref="F35:G35"/>
    <mergeCell ref="A32:E32"/>
    <mergeCell ref="A25:E25"/>
    <mergeCell ref="A28:G28"/>
    <mergeCell ref="F38:G38"/>
    <mergeCell ref="H35:I35"/>
    <mergeCell ref="A39:G39"/>
    <mergeCell ref="A41:E41"/>
    <mergeCell ref="F41:G41"/>
    <mergeCell ref="H41:I41"/>
    <mergeCell ref="A43:I43"/>
    <mergeCell ref="A36:G36"/>
    <mergeCell ref="H39:I39"/>
    <mergeCell ref="H42:I42"/>
    <mergeCell ref="A42:G42"/>
    <mergeCell ref="A38:E38"/>
    <mergeCell ref="F32:G32"/>
    <mergeCell ref="A33:G33"/>
    <mergeCell ref="H32:I32"/>
    <mergeCell ref="H38:I38"/>
    <mergeCell ref="A37:I37"/>
    <mergeCell ref="A2:I2"/>
    <mergeCell ref="A29:I29"/>
    <mergeCell ref="H30:I30"/>
    <mergeCell ref="A3:I3"/>
    <mergeCell ref="H27:I27"/>
    <mergeCell ref="H24:I24"/>
    <mergeCell ref="H25:I25"/>
    <mergeCell ref="H26:I26"/>
    <mergeCell ref="H28:I28"/>
    <mergeCell ref="H22:I22"/>
    <mergeCell ref="F22:G22"/>
    <mergeCell ref="F23:G23"/>
    <mergeCell ref="F4:I4"/>
    <mergeCell ref="F5:I5"/>
    <mergeCell ref="H23:I23"/>
    <mergeCell ref="H16:I16"/>
    <mergeCell ref="H17:I17"/>
    <mergeCell ref="H18:I18"/>
    <mergeCell ref="A16:E16"/>
    <mergeCell ref="A24:E24"/>
    <mergeCell ref="F24:G24"/>
    <mergeCell ref="A22:E22"/>
    <mergeCell ref="A23:E23"/>
    <mergeCell ref="IO216:IV227"/>
    <mergeCell ref="CC216:CJ227"/>
    <mergeCell ref="BU216:CB227"/>
    <mergeCell ref="HY216:IF227"/>
    <mergeCell ref="IG216:IN227"/>
    <mergeCell ref="DQ216:DX227"/>
    <mergeCell ref="DY216:EF227"/>
    <mergeCell ref="DA216:DH227"/>
    <mergeCell ref="DI216:DP227"/>
    <mergeCell ref="HQ216:HX227"/>
    <mergeCell ref="HI216:HP227"/>
    <mergeCell ref="FE216:FL227"/>
    <mergeCell ref="EG216:EN227"/>
    <mergeCell ref="EO216:EV227"/>
    <mergeCell ref="GS216:GZ227"/>
    <mergeCell ref="HA216:HH227"/>
    <mergeCell ref="CK216:CR227"/>
    <mergeCell ref="CS216:CZ227"/>
    <mergeCell ref="GC216:GJ227"/>
    <mergeCell ref="GK216:GR227"/>
    <mergeCell ref="FM216:FT227"/>
    <mergeCell ref="FU216:GB227"/>
    <mergeCell ref="EW216:FD227"/>
    <mergeCell ref="BE216:BL227"/>
    <mergeCell ref="BM216:BT227"/>
    <mergeCell ref="A335:G335"/>
    <mergeCell ref="G304:I304"/>
    <mergeCell ref="A304:C304"/>
    <mergeCell ref="D304:E304"/>
    <mergeCell ref="A303:C303"/>
    <mergeCell ref="D303:E303"/>
    <mergeCell ref="G305:I305"/>
    <mergeCell ref="AO216:AV227"/>
    <mergeCell ref="AW216:BD227"/>
    <mergeCell ref="J216:P227"/>
    <mergeCell ref="Q216:X227"/>
    <mergeCell ref="Y216:AF227"/>
    <mergeCell ref="AG216:AN227"/>
    <mergeCell ref="E216:F216"/>
    <mergeCell ref="G216:I216"/>
    <mergeCell ref="C216:D216"/>
    <mergeCell ref="G234:I234"/>
    <mergeCell ref="G232:I232"/>
    <mergeCell ref="A283:I284"/>
    <mergeCell ref="H265:I265"/>
    <mergeCell ref="A246:B246"/>
    <mergeCell ref="C246:D246"/>
    <mergeCell ref="E246:F246"/>
    <mergeCell ref="G246:I246"/>
    <mergeCell ref="D307:E307"/>
    <mergeCell ref="A281:I281"/>
    <mergeCell ref="C278:D278"/>
    <mergeCell ref="C279:D279"/>
    <mergeCell ref="D285:E285"/>
    <mergeCell ref="H273:I273"/>
    <mergeCell ref="G278:I278"/>
    <mergeCell ref="H259:I259"/>
    <mergeCell ref="G252:I252"/>
    <mergeCell ref="A282:I282"/>
    <mergeCell ref="A286:C286"/>
    <mergeCell ref="D286:E286"/>
    <mergeCell ref="G280:I280"/>
    <mergeCell ref="G291:I291"/>
    <mergeCell ref="A290:C290"/>
    <mergeCell ref="D290:E290"/>
    <mergeCell ref="A291:C291"/>
    <mergeCell ref="D291:E291"/>
    <mergeCell ref="A288:C288"/>
    <mergeCell ref="A139:I139"/>
    <mergeCell ref="C242:D242"/>
    <mergeCell ref="E242:F242"/>
    <mergeCell ref="A242:B242"/>
    <mergeCell ref="G240:I240"/>
    <mergeCell ref="A238:B238"/>
    <mergeCell ref="C238:D238"/>
    <mergeCell ref="E238:F238"/>
    <mergeCell ref="G238:I238"/>
    <mergeCell ref="A239:B239"/>
    <mergeCell ref="C235:D235"/>
    <mergeCell ref="E235:F235"/>
    <mergeCell ref="A236:F236"/>
    <mergeCell ref="G235:I235"/>
    <mergeCell ref="G236:I236"/>
    <mergeCell ref="A237:I237"/>
    <mergeCell ref="C217:D217"/>
    <mergeCell ref="G222:I222"/>
    <mergeCell ref="A235:B235"/>
    <mergeCell ref="B140:H140"/>
    <mergeCell ref="B142:H142"/>
    <mergeCell ref="B143:H143"/>
    <mergeCell ref="C231:D231"/>
    <mergeCell ref="A204:B204"/>
    <mergeCell ref="B160:G160"/>
    <mergeCell ref="A163:H163"/>
    <mergeCell ref="G206:I206"/>
    <mergeCell ref="A207:I207"/>
    <mergeCell ref="G220:I220"/>
    <mergeCell ref="G221:I221"/>
    <mergeCell ref="G217:I217"/>
    <mergeCell ref="E221:F221"/>
    <mergeCell ref="G218:I218"/>
    <mergeCell ref="A218:F218"/>
    <mergeCell ref="A219:I219"/>
    <mergeCell ref="A217:B217"/>
    <mergeCell ref="A209:B209"/>
    <mergeCell ref="A214:F214"/>
    <mergeCell ref="G208:I208"/>
    <mergeCell ref="G209:I209"/>
    <mergeCell ref="A192:H192"/>
    <mergeCell ref="B176:H176"/>
    <mergeCell ref="B177:H177"/>
    <mergeCell ref="E205:F205"/>
    <mergeCell ref="G204:I204"/>
    <mergeCell ref="A181:I181"/>
    <mergeCell ref="G205:I205"/>
    <mergeCell ref="C205:D205"/>
  </mergeCells>
  <phoneticPr fontId="0" type="noConversion"/>
  <pageMargins left="0.78740157480314965" right="0.31496062992125984" top="0.43307086614173229" bottom="0.31496062992125984" header="3.937007874015748E-2" footer="3.937007874015748E-2"/>
  <pageSetup paperSize="9" scale="76" orientation="portrait" horizontalDpi="1200" r:id="rId1"/>
  <headerFooter alignWithMargins="0"/>
  <rowBreaks count="7" manualBreakCount="7">
    <brk id="56" max="8" man="1"/>
    <brk id="105" max="8" man="1"/>
    <brk id="147" max="8" man="1"/>
    <brk id="197" max="8" man="1"/>
    <brk id="248" max="8" man="1"/>
    <brk id="282" max="8" man="1"/>
    <brk id="337" max="7" man="1"/>
  </rowBreaks>
  <legacyDrawing r:id="rId2"/>
</worksheet>
</file>

<file path=xl/worksheets/sheet5.xml><?xml version="1.0" encoding="utf-8"?>
<worksheet xmlns="http://schemas.openxmlformats.org/spreadsheetml/2006/main" xmlns:r="http://schemas.openxmlformats.org/officeDocument/2006/relationships">
  <dimension ref="A2:IV351"/>
  <sheetViews>
    <sheetView view="pageBreakPreview" topLeftCell="A49" zoomScale="120" zoomScaleNormal="100" zoomScaleSheetLayoutView="120" workbookViewId="0">
      <selection activeCell="D286" sqref="D286:E286"/>
    </sheetView>
  </sheetViews>
  <sheetFormatPr defaultRowHeight="12"/>
  <cols>
    <col min="1" max="1" width="15.28515625" style="1" customWidth="1"/>
    <col min="2" max="2" width="11.140625" style="1" customWidth="1"/>
    <col min="3" max="3" width="13.28515625" style="1" customWidth="1"/>
    <col min="4" max="4" width="10.140625" style="1" customWidth="1"/>
    <col min="5" max="5" width="12.42578125" style="1" bestFit="1" customWidth="1"/>
    <col min="6" max="6" width="11.28515625" style="1" bestFit="1" customWidth="1"/>
    <col min="7" max="7" width="9.85546875" style="1" customWidth="1"/>
    <col min="8" max="8" width="12.42578125" style="1" customWidth="1"/>
    <col min="9" max="9" width="14.5703125" style="46" customWidth="1"/>
    <col min="10" max="10" width="10.7109375" style="1" customWidth="1"/>
    <col min="11" max="11" width="11.140625" style="1" customWidth="1"/>
    <col min="12" max="12" width="7.42578125" style="1" customWidth="1"/>
    <col min="13" max="13" width="6.5703125" style="1" customWidth="1"/>
    <col min="14" max="15" width="9.28515625" style="1" bestFit="1" customWidth="1"/>
    <col min="16" max="16384" width="9.140625" style="1"/>
  </cols>
  <sheetData>
    <row r="2" spans="1:9" ht="23.25">
      <c r="A2" s="483" t="s">
        <v>402</v>
      </c>
      <c r="B2" s="483"/>
      <c r="C2" s="483"/>
      <c r="D2" s="483"/>
      <c r="E2" s="483"/>
      <c r="F2" s="483"/>
      <c r="G2" s="483"/>
      <c r="H2" s="483"/>
      <c r="I2" s="484"/>
    </row>
    <row r="3" spans="1:9" ht="48.75" customHeight="1">
      <c r="A3" s="489" t="s">
        <v>35</v>
      </c>
      <c r="B3" s="489"/>
      <c r="C3" s="489"/>
      <c r="D3" s="489"/>
      <c r="E3" s="489"/>
      <c r="F3" s="489"/>
      <c r="G3" s="489"/>
      <c r="H3" s="489"/>
      <c r="I3" s="490"/>
    </row>
    <row r="4" spans="1:9" ht="15.75" customHeight="1">
      <c r="A4" s="532" t="s">
        <v>296</v>
      </c>
      <c r="B4" s="533"/>
      <c r="C4" s="533"/>
      <c r="D4" s="533"/>
      <c r="E4" s="629"/>
      <c r="F4" s="614" t="s">
        <v>39</v>
      </c>
      <c r="G4" s="615"/>
      <c r="H4" s="615"/>
      <c r="I4" s="616"/>
    </row>
    <row r="5" spans="1:9" ht="15.75" customHeight="1">
      <c r="A5" s="532" t="s">
        <v>297</v>
      </c>
      <c r="B5" s="533"/>
      <c r="C5" s="533"/>
      <c r="D5" s="533"/>
      <c r="E5" s="629"/>
      <c r="F5" s="614" t="s">
        <v>41</v>
      </c>
      <c r="G5" s="615"/>
      <c r="H5" s="615"/>
      <c r="I5" s="616"/>
    </row>
    <row r="6" spans="1:9" ht="21.75" customHeight="1">
      <c r="A6" s="507" t="s">
        <v>40</v>
      </c>
      <c r="B6" s="714"/>
      <c r="C6" s="714"/>
      <c r="D6" s="714"/>
      <c r="E6" s="714"/>
      <c r="F6" s="714"/>
      <c r="G6" s="714"/>
      <c r="H6" s="714"/>
      <c r="I6" s="714"/>
    </row>
    <row r="7" spans="1:9" ht="20.25" customHeight="1">
      <c r="A7" s="528" t="s">
        <v>258</v>
      </c>
      <c r="B7" s="715"/>
      <c r="C7" s="715"/>
      <c r="D7" s="715"/>
      <c r="E7" s="715"/>
      <c r="F7" s="715"/>
      <c r="G7" s="715"/>
      <c r="H7" s="715"/>
      <c r="I7" s="636"/>
    </row>
    <row r="8" spans="1:9" ht="15.75" customHeight="1">
      <c r="A8" s="84" t="s">
        <v>259</v>
      </c>
      <c r="B8" s="507" t="s">
        <v>260</v>
      </c>
      <c r="C8" s="714"/>
      <c r="D8" s="714"/>
      <c r="E8" s="714"/>
      <c r="F8" s="714"/>
      <c r="G8" s="714"/>
      <c r="H8" s="716">
        <v>42368</v>
      </c>
      <c r="I8" s="616"/>
    </row>
    <row r="9" spans="1:9" ht="15.75" customHeight="1">
      <c r="A9" s="84" t="s">
        <v>261</v>
      </c>
      <c r="B9" s="507" t="s">
        <v>262</v>
      </c>
      <c r="C9" s="714"/>
      <c r="D9" s="714"/>
      <c r="E9" s="714"/>
      <c r="F9" s="714"/>
      <c r="G9" s="714"/>
      <c r="H9" s="719" t="s">
        <v>228</v>
      </c>
      <c r="I9" s="719"/>
    </row>
    <row r="10" spans="1:9" ht="37.5" customHeight="1">
      <c r="A10" s="84" t="s">
        <v>263</v>
      </c>
      <c r="B10" s="532" t="s">
        <v>352</v>
      </c>
      <c r="C10" s="653"/>
      <c r="D10" s="653"/>
      <c r="E10" s="653"/>
      <c r="F10" s="653"/>
      <c r="G10" s="654"/>
      <c r="H10" s="614" t="s">
        <v>42</v>
      </c>
      <c r="I10" s="616"/>
    </row>
    <row r="11" spans="1:9" ht="15.75" customHeight="1">
      <c r="A11" s="84" t="s">
        <v>264</v>
      </c>
      <c r="B11" s="532" t="s">
        <v>265</v>
      </c>
      <c r="C11" s="653"/>
      <c r="D11" s="653"/>
      <c r="E11" s="653"/>
      <c r="F11" s="653"/>
      <c r="G11" s="654"/>
      <c r="H11" s="614">
        <v>12</v>
      </c>
      <c r="I11" s="616"/>
    </row>
    <row r="12" spans="1:9" ht="27.75" customHeight="1">
      <c r="A12" s="850" t="s">
        <v>266</v>
      </c>
      <c r="B12" s="851"/>
      <c r="C12" s="851"/>
      <c r="D12" s="851"/>
      <c r="E12" s="851"/>
      <c r="F12" s="851"/>
      <c r="G12" s="851"/>
      <c r="H12" s="851"/>
      <c r="I12" s="852"/>
    </row>
    <row r="13" spans="1:9" ht="43.5" customHeight="1">
      <c r="A13" s="338" t="s">
        <v>331</v>
      </c>
      <c r="B13" s="503"/>
      <c r="C13" s="503"/>
      <c r="D13" s="503"/>
      <c r="E13" s="503"/>
      <c r="F13" s="338" t="s">
        <v>353</v>
      </c>
      <c r="G13" s="447"/>
      <c r="H13" s="717" t="s">
        <v>267</v>
      </c>
      <c r="I13" s="718"/>
    </row>
    <row r="14" spans="1:9" ht="12.75" customHeight="1">
      <c r="A14" s="428" t="s">
        <v>167</v>
      </c>
      <c r="B14" s="512"/>
      <c r="C14" s="512"/>
      <c r="D14" s="512"/>
      <c r="E14" s="512"/>
      <c r="F14" s="496" t="s">
        <v>268</v>
      </c>
      <c r="G14" s="496"/>
      <c r="H14" s="495">
        <v>2000</v>
      </c>
      <c r="I14" s="393"/>
    </row>
    <row r="15" spans="1:9" ht="12.75" customHeight="1">
      <c r="A15" s="428" t="s">
        <v>168</v>
      </c>
      <c r="B15" s="512"/>
      <c r="C15" s="512"/>
      <c r="D15" s="512"/>
      <c r="E15" s="512"/>
      <c r="F15" s="496" t="s">
        <v>268</v>
      </c>
      <c r="G15" s="496"/>
      <c r="H15" s="495">
        <v>4000</v>
      </c>
      <c r="I15" s="393"/>
    </row>
    <row r="16" spans="1:9" ht="12.75" customHeight="1">
      <c r="A16" s="360" t="s">
        <v>169</v>
      </c>
      <c r="B16" s="497"/>
      <c r="C16" s="497"/>
      <c r="D16" s="497"/>
      <c r="E16" s="498"/>
      <c r="F16" s="493" t="s">
        <v>268</v>
      </c>
      <c r="G16" s="494"/>
      <c r="H16" s="495">
        <v>0</v>
      </c>
      <c r="I16" s="393"/>
    </row>
    <row r="17" spans="1:15" ht="12.75" customHeight="1">
      <c r="A17" s="360" t="s">
        <v>170</v>
      </c>
      <c r="B17" s="497"/>
      <c r="C17" s="497"/>
      <c r="D17" s="497"/>
      <c r="E17" s="498"/>
      <c r="F17" s="493" t="s">
        <v>268</v>
      </c>
      <c r="G17" s="494"/>
      <c r="H17" s="495">
        <v>400</v>
      </c>
      <c r="I17" s="393"/>
    </row>
    <row r="18" spans="1:15" ht="12.75" customHeight="1">
      <c r="A18" s="360" t="s">
        <v>171</v>
      </c>
      <c r="B18" s="497"/>
      <c r="C18" s="497"/>
      <c r="D18" s="497"/>
      <c r="E18" s="498"/>
      <c r="F18" s="493" t="s">
        <v>268</v>
      </c>
      <c r="G18" s="494"/>
      <c r="H18" s="495">
        <v>0</v>
      </c>
      <c r="I18" s="393"/>
    </row>
    <row r="19" spans="1:15" ht="12.75" customHeight="1">
      <c r="A19" s="360" t="s">
        <v>172</v>
      </c>
      <c r="B19" s="497"/>
      <c r="C19" s="497"/>
      <c r="D19" s="497"/>
      <c r="E19" s="498"/>
      <c r="F19" s="493" t="s">
        <v>268</v>
      </c>
      <c r="G19" s="494"/>
      <c r="H19" s="495">
        <v>600</v>
      </c>
      <c r="I19" s="393"/>
    </row>
    <row r="20" spans="1:15" ht="12.75" customHeight="1">
      <c r="A20" s="499" t="s">
        <v>173</v>
      </c>
      <c r="B20" s="386"/>
      <c r="C20" s="386"/>
      <c r="D20" s="386"/>
      <c r="E20" s="386"/>
      <c r="F20" s="386"/>
      <c r="G20" s="500"/>
      <c r="H20" s="394">
        <f>ROUND(H14+H15+H16+H17+H18+H19,2)</f>
        <v>7000</v>
      </c>
      <c r="I20" s="500"/>
    </row>
    <row r="21" spans="1:15" ht="8.25" customHeight="1">
      <c r="A21" s="374"/>
      <c r="B21" s="485"/>
      <c r="C21" s="485"/>
      <c r="D21" s="485"/>
      <c r="E21" s="485"/>
      <c r="F21" s="485"/>
      <c r="G21" s="485"/>
      <c r="H21" s="485"/>
      <c r="I21" s="486"/>
    </row>
    <row r="22" spans="1:15" ht="23.25" customHeight="1">
      <c r="A22" s="428" t="s">
        <v>174</v>
      </c>
      <c r="B22" s="512"/>
      <c r="C22" s="512"/>
      <c r="D22" s="512"/>
      <c r="E22" s="512"/>
      <c r="F22" s="496" t="s">
        <v>268</v>
      </c>
      <c r="G22" s="496"/>
      <c r="H22" s="487">
        <v>500</v>
      </c>
      <c r="I22" s="488"/>
    </row>
    <row r="23" spans="1:15" ht="12.75" customHeight="1">
      <c r="A23" s="428" t="s">
        <v>175</v>
      </c>
      <c r="B23" s="513"/>
      <c r="C23" s="513"/>
      <c r="D23" s="513"/>
      <c r="E23" s="513"/>
      <c r="F23" s="508" t="s">
        <v>268</v>
      </c>
      <c r="G23" s="508"/>
      <c r="H23" s="487">
        <v>1200</v>
      </c>
      <c r="I23" s="488"/>
    </row>
    <row r="24" spans="1:15" ht="12.75" customHeight="1">
      <c r="A24" s="428" t="s">
        <v>176</v>
      </c>
      <c r="B24" s="513"/>
      <c r="C24" s="513"/>
      <c r="D24" s="513"/>
      <c r="E24" s="513"/>
      <c r="F24" s="496" t="s">
        <v>268</v>
      </c>
      <c r="G24" s="496"/>
      <c r="H24" s="487">
        <v>100</v>
      </c>
      <c r="I24" s="488"/>
    </row>
    <row r="25" spans="1:15" ht="15.75" customHeight="1">
      <c r="A25" s="428" t="s">
        <v>177</v>
      </c>
      <c r="B25" s="513"/>
      <c r="C25" s="513"/>
      <c r="D25" s="513"/>
      <c r="E25" s="513"/>
      <c r="F25" s="508" t="s">
        <v>268</v>
      </c>
      <c r="G25" s="508"/>
      <c r="H25" s="487">
        <v>150</v>
      </c>
      <c r="I25" s="488"/>
    </row>
    <row r="26" spans="1:15" ht="14.25" customHeight="1">
      <c r="A26" s="428" t="s">
        <v>178</v>
      </c>
      <c r="B26" s="513"/>
      <c r="C26" s="513"/>
      <c r="D26" s="513"/>
      <c r="E26" s="513"/>
      <c r="F26" s="508" t="s">
        <v>268</v>
      </c>
      <c r="G26" s="508"/>
      <c r="H26" s="487">
        <v>250</v>
      </c>
      <c r="I26" s="488"/>
      <c r="J26" s="2" t="s">
        <v>141</v>
      </c>
      <c r="K26" s="2" t="s">
        <v>140</v>
      </c>
      <c r="L26" s="2" t="s">
        <v>143</v>
      </c>
      <c r="M26" s="2" t="s">
        <v>142</v>
      </c>
      <c r="N26" s="1" t="s">
        <v>157</v>
      </c>
      <c r="O26" s="1" t="s">
        <v>156</v>
      </c>
    </row>
    <row r="27" spans="1:15" ht="26.25" customHeight="1">
      <c r="A27" s="428" t="s">
        <v>179</v>
      </c>
      <c r="B27" s="513"/>
      <c r="C27" s="513"/>
      <c r="D27" s="513"/>
      <c r="E27" s="513"/>
      <c r="F27" s="496" t="s">
        <v>268</v>
      </c>
      <c r="G27" s="496"/>
      <c r="H27" s="487">
        <v>800</v>
      </c>
      <c r="I27" s="488"/>
      <c r="J27" s="12">
        <f>H59</f>
        <v>0</v>
      </c>
      <c r="K27" s="1">
        <v>220</v>
      </c>
      <c r="L27" s="1">
        <f>ROUND(J27/K27,2)</f>
        <v>0</v>
      </c>
      <c r="M27" s="1">
        <f>8*15*0</f>
        <v>0</v>
      </c>
      <c r="N27" s="12">
        <v>0</v>
      </c>
      <c r="O27" s="11">
        <v>0.5</v>
      </c>
    </row>
    <row r="28" spans="1:15" ht="15" customHeight="1">
      <c r="A28" s="515" t="s">
        <v>180</v>
      </c>
      <c r="B28" s="516"/>
      <c r="C28" s="516"/>
      <c r="D28" s="516"/>
      <c r="E28" s="516"/>
      <c r="F28" s="516"/>
      <c r="G28" s="516"/>
      <c r="H28" s="491">
        <f>ROUND(H22+H23+H24+H25+H26+H27,2)</f>
        <v>3000</v>
      </c>
      <c r="I28" s="492"/>
      <c r="J28" s="12"/>
      <c r="N28" s="12"/>
      <c r="O28" s="11"/>
    </row>
    <row r="29" spans="1:15" ht="7.5" customHeight="1">
      <c r="A29" s="374"/>
      <c r="B29" s="485"/>
      <c r="C29" s="485"/>
      <c r="D29" s="485"/>
      <c r="E29" s="485"/>
      <c r="F29" s="485"/>
      <c r="G29" s="485"/>
      <c r="H29" s="485"/>
      <c r="I29" s="486"/>
      <c r="J29" s="1" t="s">
        <v>138</v>
      </c>
      <c r="K29" s="1" t="s">
        <v>139</v>
      </c>
      <c r="N29" s="12"/>
      <c r="O29" s="11"/>
    </row>
    <row r="30" spans="1:15" ht="27" customHeight="1">
      <c r="A30" s="428" t="s">
        <v>181</v>
      </c>
      <c r="B30" s="512"/>
      <c r="C30" s="512"/>
      <c r="D30" s="512"/>
      <c r="E30" s="512"/>
      <c r="F30" s="496" t="s">
        <v>268</v>
      </c>
      <c r="G30" s="496"/>
      <c r="H30" s="487">
        <v>100</v>
      </c>
      <c r="I30" s="488"/>
      <c r="J30" s="11">
        <v>0</v>
      </c>
      <c r="K30" s="11">
        <v>0</v>
      </c>
    </row>
    <row r="31" spans="1:15" ht="25.5" customHeight="1">
      <c r="A31" s="428" t="s">
        <v>182</v>
      </c>
      <c r="B31" s="512"/>
      <c r="C31" s="512"/>
      <c r="D31" s="512"/>
      <c r="E31" s="512"/>
      <c r="F31" s="496" t="s">
        <v>268</v>
      </c>
      <c r="G31" s="496"/>
      <c r="H31" s="487">
        <v>250</v>
      </c>
      <c r="I31" s="488"/>
      <c r="J31" s="11">
        <v>0.1</v>
      </c>
      <c r="K31" s="11">
        <v>0.3</v>
      </c>
    </row>
    <row r="32" spans="1:15" ht="12.75">
      <c r="A32" s="360" t="s">
        <v>183</v>
      </c>
      <c r="B32" s="497"/>
      <c r="C32" s="497"/>
      <c r="D32" s="497"/>
      <c r="E32" s="498"/>
      <c r="F32" s="493" t="s">
        <v>268</v>
      </c>
      <c r="G32" s="494"/>
      <c r="H32" s="487">
        <v>350</v>
      </c>
      <c r="I32" s="488"/>
    </row>
    <row r="33" spans="1:12" ht="12.75">
      <c r="A33" s="509" t="s">
        <v>216</v>
      </c>
      <c r="B33" s="510"/>
      <c r="C33" s="510"/>
      <c r="D33" s="510"/>
      <c r="E33" s="510"/>
      <c r="F33" s="510"/>
      <c r="G33" s="511"/>
      <c r="H33" s="491">
        <f>ROUND(H30+H31+H32,2)</f>
        <v>700</v>
      </c>
      <c r="I33" s="492"/>
    </row>
    <row r="34" spans="1:12" ht="7.5" customHeight="1">
      <c r="A34" s="676"/>
      <c r="B34" s="485"/>
      <c r="C34" s="485"/>
      <c r="D34" s="485"/>
      <c r="E34" s="485"/>
      <c r="F34" s="485"/>
      <c r="G34" s="485"/>
      <c r="H34" s="485"/>
      <c r="I34" s="486"/>
    </row>
    <row r="35" spans="1:12" ht="12.75">
      <c r="A35" s="514" t="s">
        <v>214</v>
      </c>
      <c r="B35" s="514"/>
      <c r="C35" s="514"/>
      <c r="D35" s="514"/>
      <c r="E35" s="514"/>
      <c r="F35" s="493" t="s">
        <v>268</v>
      </c>
      <c r="G35" s="494"/>
      <c r="H35" s="391">
        <v>70</v>
      </c>
      <c r="I35" s="393"/>
    </row>
    <row r="36" spans="1:12" ht="12.75" customHeight="1">
      <c r="A36" s="681" t="s">
        <v>215</v>
      </c>
      <c r="B36" s="682"/>
      <c r="C36" s="682"/>
      <c r="D36" s="682"/>
      <c r="E36" s="682"/>
      <c r="F36" s="682"/>
      <c r="G36" s="683"/>
      <c r="H36" s="394">
        <f>H35</f>
        <v>70</v>
      </c>
      <c r="I36" s="500"/>
    </row>
    <row r="37" spans="1:12" ht="7.5" customHeight="1">
      <c r="A37" s="688"/>
      <c r="B37" s="689"/>
      <c r="C37" s="689"/>
      <c r="D37" s="689"/>
      <c r="E37" s="689"/>
      <c r="F37" s="689"/>
      <c r="G37" s="689"/>
      <c r="H37" s="689"/>
      <c r="I37" s="690"/>
    </row>
    <row r="38" spans="1:12" s="4" customFormat="1" ht="12.75">
      <c r="A38" s="514" t="s">
        <v>184</v>
      </c>
      <c r="B38" s="514"/>
      <c r="C38" s="514"/>
      <c r="D38" s="514"/>
      <c r="E38" s="514"/>
      <c r="F38" s="508" t="s">
        <v>268</v>
      </c>
      <c r="G38" s="508"/>
      <c r="H38" s="686">
        <v>0</v>
      </c>
      <c r="I38" s="687"/>
      <c r="J38" s="13" t="s">
        <v>144</v>
      </c>
      <c r="K38" s="1" t="s">
        <v>145</v>
      </c>
      <c r="L38" s="1" t="s">
        <v>146</v>
      </c>
    </row>
    <row r="39" spans="1:12" ht="12.75">
      <c r="A39" s="665" t="s">
        <v>91</v>
      </c>
      <c r="B39" s="510"/>
      <c r="C39" s="510"/>
      <c r="D39" s="510"/>
      <c r="E39" s="510"/>
      <c r="F39" s="510"/>
      <c r="G39" s="511"/>
      <c r="H39" s="684">
        <v>0</v>
      </c>
      <c r="I39" s="685"/>
      <c r="J39" s="1">
        <v>2.2999999999999998</v>
      </c>
      <c r="K39" s="14">
        <v>22</v>
      </c>
      <c r="L39" s="15">
        <v>5.5</v>
      </c>
    </row>
    <row r="40" spans="1:12" ht="8.25" customHeight="1">
      <c r="A40" s="122"/>
      <c r="B40" s="119"/>
      <c r="C40" s="119"/>
      <c r="D40" s="119"/>
      <c r="E40" s="119"/>
      <c r="F40" s="119"/>
      <c r="G40" s="119"/>
      <c r="H40" s="120"/>
      <c r="I40" s="121"/>
      <c r="K40" s="14"/>
      <c r="L40" s="15"/>
    </row>
    <row r="41" spans="1:12" ht="15.75" customHeight="1">
      <c r="A41" s="666" t="s">
        <v>92</v>
      </c>
      <c r="B41" s="667"/>
      <c r="C41" s="667"/>
      <c r="D41" s="667"/>
      <c r="E41" s="667"/>
      <c r="F41" s="508" t="s">
        <v>268</v>
      </c>
      <c r="G41" s="508"/>
      <c r="H41" s="679">
        <v>0</v>
      </c>
      <c r="I41" s="680"/>
      <c r="K41" s="14"/>
      <c r="L41" s="15"/>
    </row>
    <row r="42" spans="1:12" ht="15" customHeight="1">
      <c r="A42" s="509" t="s">
        <v>90</v>
      </c>
      <c r="B42" s="721"/>
      <c r="C42" s="721"/>
      <c r="D42" s="721"/>
      <c r="E42" s="721"/>
      <c r="F42" s="721"/>
      <c r="G42" s="722"/>
      <c r="H42" s="720">
        <v>0</v>
      </c>
      <c r="I42" s="396"/>
      <c r="K42" s="14"/>
      <c r="L42" s="15"/>
    </row>
    <row r="43" spans="1:12" ht="7.5" customHeight="1">
      <c r="A43" s="676"/>
      <c r="B43" s="485"/>
      <c r="C43" s="485"/>
      <c r="D43" s="485"/>
      <c r="E43" s="485"/>
      <c r="F43" s="485"/>
      <c r="G43" s="485"/>
      <c r="H43" s="485"/>
      <c r="I43" s="486"/>
    </row>
    <row r="44" spans="1:12" ht="12.75" customHeight="1">
      <c r="A44" s="662" t="s">
        <v>269</v>
      </c>
      <c r="B44" s="663"/>
      <c r="C44" s="663"/>
      <c r="D44" s="663"/>
      <c r="E44" s="663"/>
      <c r="F44" s="663"/>
      <c r="G44" s="664"/>
      <c r="H44" s="677">
        <f>ROUND(H20+H28+H33+H36+H39,2)</f>
        <v>10770</v>
      </c>
      <c r="I44" s="678"/>
    </row>
    <row r="45" spans="1:12" ht="7.5" customHeight="1">
      <c r="A45" s="670"/>
      <c r="B45" s="671"/>
      <c r="C45" s="671"/>
      <c r="D45" s="671"/>
      <c r="E45" s="671"/>
      <c r="F45" s="671"/>
      <c r="G45" s="671"/>
      <c r="H45" s="671"/>
      <c r="I45" s="671"/>
      <c r="J45" s="5"/>
      <c r="K45" s="6"/>
      <c r="L45" s="7"/>
    </row>
    <row r="46" spans="1:12" ht="57" customHeight="1">
      <c r="A46" s="673" t="s">
        <v>401</v>
      </c>
      <c r="B46" s="674"/>
      <c r="C46" s="674"/>
      <c r="D46" s="674"/>
      <c r="E46" s="674"/>
      <c r="F46" s="674"/>
      <c r="G46" s="674"/>
      <c r="H46" s="674"/>
      <c r="I46" s="675"/>
      <c r="J46" s="5"/>
      <c r="K46" s="6"/>
      <c r="L46" s="7"/>
    </row>
    <row r="47" spans="1:12" ht="7.5" customHeight="1">
      <c r="A47" s="670"/>
      <c r="B47" s="474"/>
      <c r="C47" s="474"/>
      <c r="D47" s="474"/>
      <c r="E47" s="474"/>
      <c r="F47" s="474"/>
      <c r="G47" s="474"/>
      <c r="H47" s="474"/>
      <c r="I47" s="474"/>
      <c r="J47" s="5"/>
      <c r="K47" s="6"/>
      <c r="L47" s="7"/>
    </row>
    <row r="48" spans="1:12" ht="64.5" customHeight="1">
      <c r="A48" s="539" t="s">
        <v>414</v>
      </c>
      <c r="B48" s="672"/>
      <c r="C48" s="672"/>
      <c r="D48" s="672"/>
      <c r="E48" s="672"/>
      <c r="F48" s="672"/>
      <c r="G48" s="672"/>
      <c r="H48" s="672"/>
      <c r="I48" s="390"/>
      <c r="J48" s="5"/>
      <c r="K48" s="6"/>
      <c r="L48" s="7"/>
    </row>
    <row r="49" spans="1:256" ht="21.75" customHeight="1">
      <c r="A49" s="528" t="s">
        <v>161</v>
      </c>
      <c r="B49" s="529"/>
      <c r="C49" s="529"/>
      <c r="D49" s="529"/>
      <c r="E49" s="529"/>
      <c r="F49" s="529"/>
      <c r="G49" s="529"/>
      <c r="H49" s="529"/>
      <c r="I49" s="636"/>
      <c r="J49" s="504"/>
      <c r="K49" s="504"/>
      <c r="L49" s="504"/>
      <c r="M49" s="504"/>
      <c r="N49" s="504"/>
      <c r="O49" s="504"/>
      <c r="P49" s="504"/>
      <c r="Q49" s="504"/>
      <c r="R49" s="504"/>
      <c r="S49" s="504"/>
      <c r="T49" s="504"/>
      <c r="U49" s="504"/>
      <c r="V49" s="504"/>
      <c r="W49" s="504"/>
      <c r="X49" s="504"/>
      <c r="Y49" s="504"/>
      <c r="Z49" s="504"/>
      <c r="AA49" s="504"/>
      <c r="AB49" s="504"/>
      <c r="AC49" s="504"/>
      <c r="AD49" s="504"/>
      <c r="AE49" s="504"/>
      <c r="AF49" s="504"/>
      <c r="AG49" s="504"/>
      <c r="AH49" s="504"/>
      <c r="AI49" s="504"/>
      <c r="AJ49" s="504"/>
      <c r="AK49" s="504"/>
      <c r="AL49" s="504"/>
      <c r="AM49" s="504"/>
      <c r="AN49" s="504"/>
      <c r="AO49" s="504"/>
      <c r="AP49" s="504"/>
      <c r="AQ49" s="504"/>
      <c r="AR49" s="504"/>
      <c r="AS49" s="504"/>
      <c r="AT49" s="504"/>
      <c r="AU49" s="504"/>
      <c r="AV49" s="504"/>
      <c r="AW49" s="504"/>
      <c r="AX49" s="504"/>
      <c r="AY49" s="504"/>
      <c r="AZ49" s="504"/>
      <c r="BA49" s="504"/>
      <c r="BB49" s="504"/>
      <c r="BC49" s="504"/>
      <c r="BD49" s="504"/>
      <c r="BE49" s="504"/>
      <c r="BF49" s="504"/>
      <c r="BG49" s="504"/>
      <c r="BH49" s="504"/>
      <c r="BI49" s="504"/>
      <c r="BJ49" s="504"/>
      <c r="BK49" s="504"/>
      <c r="BL49" s="504"/>
      <c r="BM49" s="504"/>
      <c r="BN49" s="504"/>
      <c r="BO49" s="504"/>
      <c r="BP49" s="504"/>
      <c r="BQ49" s="504"/>
      <c r="BR49" s="504"/>
      <c r="BS49" s="504"/>
      <c r="BT49" s="504"/>
      <c r="BU49" s="504"/>
      <c r="BV49" s="504"/>
      <c r="BW49" s="504"/>
      <c r="BX49" s="504"/>
      <c r="BY49" s="504"/>
      <c r="BZ49" s="504"/>
      <c r="CA49" s="504"/>
      <c r="CB49" s="504"/>
      <c r="CC49" s="504"/>
      <c r="CD49" s="504"/>
      <c r="CE49" s="504"/>
      <c r="CF49" s="504"/>
      <c r="CG49" s="504"/>
      <c r="CH49" s="504"/>
      <c r="CI49" s="504"/>
      <c r="CJ49" s="504"/>
      <c r="CK49" s="504"/>
      <c r="CL49" s="504"/>
      <c r="CM49" s="504"/>
      <c r="CN49" s="504"/>
      <c r="CO49" s="504"/>
      <c r="CP49" s="504"/>
      <c r="CQ49" s="504"/>
      <c r="CR49" s="504"/>
      <c r="CS49" s="504"/>
      <c r="CT49" s="504"/>
      <c r="CU49" s="504"/>
      <c r="CV49" s="504"/>
      <c r="CW49" s="504"/>
      <c r="CX49" s="504"/>
      <c r="CY49" s="504"/>
      <c r="CZ49" s="504"/>
      <c r="DA49" s="504"/>
      <c r="DB49" s="504"/>
      <c r="DC49" s="504"/>
      <c r="DD49" s="504"/>
      <c r="DE49" s="504"/>
      <c r="DF49" s="504"/>
      <c r="DG49" s="504"/>
      <c r="DH49" s="504"/>
      <c r="DI49" s="504"/>
      <c r="DJ49" s="504"/>
      <c r="DK49" s="504"/>
      <c r="DL49" s="504"/>
      <c r="DM49" s="504"/>
      <c r="DN49" s="504"/>
      <c r="DO49" s="504"/>
      <c r="DP49" s="504"/>
      <c r="DQ49" s="504"/>
      <c r="DR49" s="504"/>
      <c r="DS49" s="504"/>
      <c r="DT49" s="504"/>
      <c r="DU49" s="504"/>
      <c r="DV49" s="504"/>
      <c r="DW49" s="504"/>
      <c r="DX49" s="504"/>
      <c r="DY49" s="504"/>
      <c r="DZ49" s="504"/>
      <c r="EA49" s="504"/>
      <c r="EB49" s="504"/>
      <c r="EC49" s="504"/>
      <c r="ED49" s="504"/>
      <c r="EE49" s="504"/>
      <c r="EF49" s="504"/>
      <c r="EG49" s="504"/>
      <c r="EH49" s="504"/>
      <c r="EI49" s="504"/>
      <c r="EJ49" s="504"/>
      <c r="EK49" s="504"/>
      <c r="EL49" s="504"/>
      <c r="EM49" s="504"/>
      <c r="EN49" s="504"/>
      <c r="EO49" s="504"/>
      <c r="EP49" s="504"/>
      <c r="EQ49" s="504"/>
      <c r="ER49" s="504"/>
      <c r="ES49" s="504"/>
      <c r="ET49" s="504"/>
      <c r="EU49" s="504"/>
      <c r="EV49" s="504"/>
      <c r="EW49" s="504"/>
      <c r="EX49" s="504"/>
      <c r="EY49" s="504"/>
      <c r="EZ49" s="504"/>
      <c r="FA49" s="504"/>
      <c r="FB49" s="504"/>
      <c r="FC49" s="504"/>
      <c r="FD49" s="504"/>
      <c r="FE49" s="504"/>
      <c r="FF49" s="504"/>
      <c r="FG49" s="504"/>
      <c r="FH49" s="504"/>
      <c r="FI49" s="504"/>
      <c r="FJ49" s="504"/>
      <c r="FK49" s="504"/>
      <c r="FL49" s="504"/>
      <c r="FM49" s="504"/>
      <c r="FN49" s="504"/>
      <c r="FO49" s="504"/>
      <c r="FP49" s="504"/>
      <c r="FQ49" s="504"/>
      <c r="FR49" s="504"/>
      <c r="FS49" s="504"/>
      <c r="FT49" s="504"/>
      <c r="FU49" s="504"/>
      <c r="FV49" s="504"/>
      <c r="FW49" s="504"/>
      <c r="FX49" s="504"/>
      <c r="FY49" s="504"/>
      <c r="FZ49" s="504"/>
      <c r="GA49" s="504"/>
      <c r="GB49" s="504"/>
      <c r="GC49" s="504"/>
      <c r="GD49" s="504"/>
      <c r="GE49" s="504"/>
      <c r="GF49" s="504"/>
      <c r="GG49" s="504"/>
      <c r="GH49" s="504"/>
      <c r="GI49" s="504"/>
      <c r="GJ49" s="504"/>
      <c r="GK49" s="504"/>
      <c r="GL49" s="504"/>
      <c r="GM49" s="504"/>
      <c r="GN49" s="504"/>
      <c r="GO49" s="504"/>
      <c r="GP49" s="504"/>
      <c r="GQ49" s="504"/>
      <c r="GR49" s="504"/>
      <c r="GS49" s="504"/>
      <c r="GT49" s="504"/>
      <c r="GU49" s="504"/>
      <c r="GV49" s="504"/>
      <c r="GW49" s="504"/>
      <c r="GX49" s="504"/>
      <c r="GY49" s="504"/>
      <c r="GZ49" s="504"/>
      <c r="HA49" s="504"/>
      <c r="HB49" s="504"/>
      <c r="HC49" s="504"/>
      <c r="HD49" s="504"/>
      <c r="HE49" s="504"/>
      <c r="HF49" s="504"/>
      <c r="HG49" s="504"/>
      <c r="HH49" s="504"/>
      <c r="HI49" s="504"/>
      <c r="HJ49" s="504"/>
      <c r="HK49" s="504"/>
      <c r="HL49" s="504"/>
      <c r="HM49" s="504"/>
      <c r="HN49" s="504"/>
      <c r="HO49" s="504"/>
      <c r="HP49" s="504"/>
      <c r="HQ49" s="504"/>
      <c r="HR49" s="504"/>
      <c r="HS49" s="504"/>
      <c r="HT49" s="504"/>
      <c r="HU49" s="504"/>
      <c r="HV49" s="504"/>
      <c r="HW49" s="504"/>
      <c r="HX49" s="504"/>
      <c r="HY49" s="504"/>
      <c r="HZ49" s="504"/>
      <c r="IA49" s="504"/>
      <c r="IB49" s="504"/>
      <c r="IC49" s="504"/>
      <c r="ID49" s="504"/>
      <c r="IE49" s="504"/>
      <c r="IF49" s="504"/>
      <c r="IG49" s="504"/>
      <c r="IH49" s="504"/>
      <c r="II49" s="504"/>
      <c r="IJ49" s="504"/>
      <c r="IK49" s="504"/>
      <c r="IL49" s="504"/>
      <c r="IM49" s="504"/>
      <c r="IN49" s="504"/>
      <c r="IO49" s="504"/>
      <c r="IP49" s="504"/>
      <c r="IQ49" s="504"/>
      <c r="IR49" s="504"/>
      <c r="IS49" s="504"/>
      <c r="IT49" s="504"/>
      <c r="IU49" s="504"/>
      <c r="IV49" s="504"/>
    </row>
    <row r="50" spans="1:256" ht="15.75" customHeight="1">
      <c r="A50" s="84">
        <v>1</v>
      </c>
      <c r="B50" s="507" t="s">
        <v>270</v>
      </c>
      <c r="C50" s="507"/>
      <c r="D50" s="507"/>
      <c r="E50" s="507"/>
      <c r="F50" s="507"/>
      <c r="G50" s="507"/>
      <c r="H50" s="505" t="s">
        <v>271</v>
      </c>
      <c r="I50" s="506"/>
    </row>
    <row r="51" spans="1:256" ht="15.75" customHeight="1">
      <c r="A51" s="84">
        <v>2</v>
      </c>
      <c r="B51" s="507" t="s">
        <v>413</v>
      </c>
      <c r="C51" s="507"/>
      <c r="D51" s="507"/>
      <c r="E51" s="507"/>
      <c r="F51" s="507"/>
      <c r="G51" s="507"/>
      <c r="H51" s="505">
        <v>829.4</v>
      </c>
      <c r="I51" s="669"/>
    </row>
    <row r="52" spans="1:256" ht="15.75" customHeight="1">
      <c r="A52" s="84">
        <v>3</v>
      </c>
      <c r="B52" s="507" t="s">
        <v>341</v>
      </c>
      <c r="C52" s="507"/>
      <c r="D52" s="507"/>
      <c r="E52" s="507"/>
      <c r="F52" s="507"/>
      <c r="G52" s="507"/>
      <c r="H52" s="621" t="s">
        <v>340</v>
      </c>
      <c r="I52" s="622"/>
    </row>
    <row r="53" spans="1:256" ht="15.75" customHeight="1">
      <c r="A53" s="84">
        <v>4</v>
      </c>
      <c r="B53" s="507" t="s">
        <v>125</v>
      </c>
      <c r="C53" s="507"/>
      <c r="D53" s="507"/>
      <c r="E53" s="507"/>
      <c r="F53" s="507"/>
      <c r="G53" s="507"/>
      <c r="H53" s="621" t="s">
        <v>43</v>
      </c>
      <c r="I53" s="622"/>
    </row>
    <row r="54" spans="1:256" ht="9" customHeight="1">
      <c r="A54" s="619"/>
      <c r="B54" s="620"/>
      <c r="C54" s="620"/>
      <c r="D54" s="620"/>
      <c r="E54" s="620"/>
      <c r="F54" s="620"/>
      <c r="G54" s="620"/>
      <c r="H54" s="620"/>
      <c r="I54" s="620"/>
    </row>
    <row r="55" spans="1:256" ht="14.25" customHeight="1">
      <c r="A55" s="666" t="s">
        <v>338</v>
      </c>
      <c r="B55" s="667"/>
      <c r="C55" s="667"/>
      <c r="D55" s="667"/>
      <c r="E55" s="667"/>
      <c r="F55" s="667"/>
      <c r="G55" s="667"/>
      <c r="H55" s="667"/>
      <c r="I55" s="710"/>
    </row>
    <row r="56" spans="1:256" ht="9" customHeight="1">
      <c r="A56" s="711"/>
      <c r="B56" s="712"/>
      <c r="C56" s="712"/>
      <c r="D56" s="712"/>
      <c r="E56" s="712"/>
      <c r="F56" s="712"/>
      <c r="G56" s="712"/>
      <c r="H56" s="712"/>
      <c r="I56" s="713"/>
    </row>
    <row r="57" spans="1:256" ht="36" customHeight="1">
      <c r="A57" s="618" t="s">
        <v>298</v>
      </c>
      <c r="B57" s="431"/>
      <c r="C57" s="431"/>
      <c r="D57" s="431"/>
      <c r="E57" s="431"/>
      <c r="F57" s="431"/>
      <c r="G57" s="431"/>
      <c r="H57" s="431"/>
      <c r="I57" s="340"/>
    </row>
    <row r="58" spans="1:256" s="8" customFormat="1" ht="29.25" customHeight="1">
      <c r="A58" s="60">
        <v>1</v>
      </c>
      <c r="B58" s="528" t="s">
        <v>355</v>
      </c>
      <c r="C58" s="529"/>
      <c r="D58" s="529"/>
      <c r="E58" s="529"/>
      <c r="F58" s="529"/>
      <c r="G58" s="626"/>
      <c r="H58" s="60" t="s">
        <v>385</v>
      </c>
      <c r="I58" s="60" t="s">
        <v>386</v>
      </c>
    </row>
    <row r="59" spans="1:256" ht="27.75" customHeight="1">
      <c r="A59" s="84" t="s">
        <v>259</v>
      </c>
      <c r="B59" s="532" t="s">
        <v>412</v>
      </c>
      <c r="C59" s="533"/>
      <c r="D59" s="533"/>
      <c r="E59" s="533"/>
      <c r="F59" s="533"/>
      <c r="G59" s="533"/>
      <c r="H59" s="624"/>
      <c r="I59" s="87">
        <f>ROUND(((40/6)*30)*(ROUND(H51/220,2)),2)</f>
        <v>754</v>
      </c>
    </row>
    <row r="60" spans="1:256" ht="15.75" customHeight="1">
      <c r="A60" s="84" t="s">
        <v>261</v>
      </c>
      <c r="B60" s="668" t="s">
        <v>435</v>
      </c>
      <c r="C60" s="534"/>
      <c r="D60" s="534"/>
      <c r="E60" s="534"/>
      <c r="F60" s="534"/>
      <c r="G60" s="623"/>
      <c r="H60" s="85"/>
      <c r="I60" s="87"/>
    </row>
    <row r="61" spans="1:256" ht="15.75" customHeight="1">
      <c r="A61" s="84" t="s">
        <v>263</v>
      </c>
      <c r="B61" s="645" t="s">
        <v>44</v>
      </c>
      <c r="C61" s="534"/>
      <c r="D61" s="534"/>
      <c r="E61" s="534"/>
      <c r="F61" s="534"/>
      <c r="G61" s="623"/>
      <c r="H61" s="86">
        <v>0.2</v>
      </c>
      <c r="I61" s="87">
        <f>ROUND(H61*I59,2)</f>
        <v>150.80000000000001</v>
      </c>
    </row>
    <row r="62" spans="1:256" ht="15.75" customHeight="1">
      <c r="A62" s="84" t="s">
        <v>264</v>
      </c>
      <c r="B62" s="532" t="s">
        <v>441</v>
      </c>
      <c r="C62" s="625"/>
      <c r="D62" s="625"/>
      <c r="E62" s="625"/>
      <c r="F62" s="625"/>
      <c r="G62" s="625"/>
      <c r="H62" s="624"/>
      <c r="I62" s="87"/>
    </row>
    <row r="63" spans="1:256" ht="15.75" customHeight="1">
      <c r="A63" s="84" t="s">
        <v>272</v>
      </c>
      <c r="B63" s="532" t="s">
        <v>439</v>
      </c>
      <c r="C63" s="625"/>
      <c r="D63" s="625"/>
      <c r="E63" s="625"/>
      <c r="F63" s="625"/>
      <c r="G63" s="625"/>
      <c r="H63" s="624"/>
      <c r="I63" s="87"/>
    </row>
    <row r="64" spans="1:256" ht="15.75" customHeight="1">
      <c r="A64" s="84" t="s">
        <v>273</v>
      </c>
      <c r="B64" s="532" t="s">
        <v>440</v>
      </c>
      <c r="C64" s="625"/>
      <c r="D64" s="625"/>
      <c r="E64" s="625"/>
      <c r="F64" s="625"/>
      <c r="G64" s="625"/>
      <c r="H64" s="624"/>
      <c r="I64" s="87"/>
    </row>
    <row r="65" spans="1:12" ht="15.75" customHeight="1">
      <c r="A65" s="84" t="s">
        <v>274</v>
      </c>
      <c r="B65" s="532" t="s">
        <v>356</v>
      </c>
      <c r="C65" s="625"/>
      <c r="D65" s="625"/>
      <c r="E65" s="625"/>
      <c r="F65" s="625"/>
      <c r="G65" s="625"/>
      <c r="H65" s="624"/>
      <c r="I65" s="87"/>
    </row>
    <row r="66" spans="1:12" ht="15.75" customHeight="1">
      <c r="A66" s="385" t="s">
        <v>330</v>
      </c>
      <c r="B66" s="534"/>
      <c r="C66" s="534"/>
      <c r="D66" s="534"/>
      <c r="E66" s="534"/>
      <c r="F66" s="534"/>
      <c r="G66" s="534"/>
      <c r="H66" s="623"/>
      <c r="I66" s="68">
        <f>SUM(I59:I65)</f>
        <v>904.8</v>
      </c>
    </row>
    <row r="67" spans="1:12" ht="30" customHeight="1">
      <c r="A67" s="517" t="s">
        <v>276</v>
      </c>
      <c r="B67" s="518"/>
      <c r="C67" s="518"/>
      <c r="D67" s="518"/>
      <c r="E67" s="518"/>
      <c r="F67" s="518"/>
      <c r="G67" s="518"/>
      <c r="H67" s="518"/>
      <c r="I67" s="398"/>
    </row>
    <row r="68" spans="1:12" ht="18.75" customHeight="1">
      <c r="A68" s="75">
        <v>2</v>
      </c>
      <c r="B68" s="528" t="s">
        <v>357</v>
      </c>
      <c r="C68" s="529"/>
      <c r="D68" s="529"/>
      <c r="E68" s="529"/>
      <c r="F68" s="529"/>
      <c r="G68" s="529"/>
      <c r="H68" s="530"/>
      <c r="I68" s="53" t="s">
        <v>127</v>
      </c>
    </row>
    <row r="69" spans="1:12" ht="15.75" customHeight="1">
      <c r="A69" s="52" t="s">
        <v>259</v>
      </c>
      <c r="B69" s="507" t="s">
        <v>347</v>
      </c>
      <c r="C69" s="507"/>
      <c r="D69" s="507"/>
      <c r="E69" s="507"/>
      <c r="F69" s="507"/>
      <c r="G69" s="507"/>
      <c r="H69" s="531"/>
      <c r="I69" s="88">
        <f>IF(ROUND((21*H70*H71)-(I59*0.06),2)&lt;0,0,ROUND((21*H70*H71)-(I59*0.06),2))*1+(H70*H71*21.726-0.06*I59)*0</f>
        <v>91.26</v>
      </c>
      <c r="K69" s="1">
        <f>2*22*2.7</f>
        <v>118.80000000000001</v>
      </c>
    </row>
    <row r="70" spans="1:12" ht="22.5" customHeight="1">
      <c r="A70" s="52"/>
      <c r="B70" s="519" t="s">
        <v>334</v>
      </c>
      <c r="C70" s="520"/>
      <c r="D70" s="520"/>
      <c r="E70" s="520"/>
      <c r="F70" s="520"/>
      <c r="G70" s="520"/>
      <c r="H70" s="91">
        <v>3.25</v>
      </c>
      <c r="I70" s="89" t="s">
        <v>227</v>
      </c>
      <c r="K70" s="1">
        <f>0.06*572*(22/30)</f>
        <v>25.167999999999999</v>
      </c>
      <c r="L70" s="1">
        <f>K69-K70</f>
        <v>93.632000000000005</v>
      </c>
    </row>
    <row r="71" spans="1:12" ht="17.25" customHeight="1">
      <c r="A71" s="52"/>
      <c r="B71" s="521" t="s">
        <v>335</v>
      </c>
      <c r="C71" s="521"/>
      <c r="D71" s="521"/>
      <c r="E71" s="521"/>
      <c r="F71" s="521"/>
      <c r="G71" s="521"/>
      <c r="H71" s="114">
        <v>2</v>
      </c>
      <c r="I71" s="89"/>
    </row>
    <row r="72" spans="1:12" ht="15.75" customHeight="1">
      <c r="A72" s="52" t="s">
        <v>261</v>
      </c>
      <c r="B72" s="532" t="s">
        <v>46</v>
      </c>
      <c r="C72" s="533"/>
      <c r="D72" s="533"/>
      <c r="E72" s="533"/>
      <c r="F72" s="533"/>
      <c r="G72" s="533"/>
      <c r="H72" s="534"/>
      <c r="I72" s="88">
        <f>ROUND(21*H73*(1-0.175),2)*1+ROUND(21.726*6*(1-0.175),2)*0</f>
        <v>225.23</v>
      </c>
    </row>
    <row r="73" spans="1:12" ht="15.75" customHeight="1">
      <c r="A73" s="52"/>
      <c r="B73" s="519" t="s">
        <v>1</v>
      </c>
      <c r="C73" s="520"/>
      <c r="D73" s="520"/>
      <c r="E73" s="520"/>
      <c r="F73" s="520"/>
      <c r="G73" s="520"/>
      <c r="H73" s="91">
        <v>13</v>
      </c>
      <c r="I73" s="89" t="s">
        <v>227</v>
      </c>
    </row>
    <row r="74" spans="1:12" ht="15.75" customHeight="1">
      <c r="A74" s="52" t="s">
        <v>263</v>
      </c>
      <c r="B74" s="532" t="s">
        <v>277</v>
      </c>
      <c r="C74" s="533"/>
      <c r="D74" s="533"/>
      <c r="E74" s="533"/>
      <c r="F74" s="533"/>
      <c r="G74" s="533"/>
      <c r="H74" s="534"/>
      <c r="I74" s="88">
        <v>0</v>
      </c>
    </row>
    <row r="75" spans="1:12" ht="15.75" customHeight="1">
      <c r="A75" s="52" t="s">
        <v>264</v>
      </c>
      <c r="B75" s="652" t="s">
        <v>299</v>
      </c>
      <c r="C75" s="625"/>
      <c r="D75" s="625"/>
      <c r="E75" s="625"/>
      <c r="F75" s="625"/>
      <c r="G75" s="625"/>
      <c r="H75" s="534"/>
      <c r="I75" s="90">
        <v>0</v>
      </c>
    </row>
    <row r="76" spans="1:12" ht="21.75" customHeight="1">
      <c r="A76" s="52" t="s">
        <v>272</v>
      </c>
      <c r="B76" s="532" t="s">
        <v>0</v>
      </c>
      <c r="C76" s="533"/>
      <c r="D76" s="533"/>
      <c r="E76" s="533"/>
      <c r="F76" s="533"/>
      <c r="G76" s="533"/>
      <c r="H76" s="629"/>
      <c r="I76" s="88">
        <f>ROUND(0.001068*5000,2)</f>
        <v>5.34</v>
      </c>
    </row>
    <row r="77" spans="1:12" ht="24" customHeight="1">
      <c r="A77" s="52" t="s">
        <v>273</v>
      </c>
      <c r="B77" s="532" t="s">
        <v>460</v>
      </c>
      <c r="C77" s="734"/>
      <c r="D77" s="734"/>
      <c r="E77" s="734"/>
      <c r="F77" s="734"/>
      <c r="G77" s="734"/>
      <c r="H77" s="735"/>
      <c r="I77" s="88">
        <v>8.4600000000000009</v>
      </c>
    </row>
    <row r="78" spans="1:12" ht="15.75" customHeight="1">
      <c r="A78" s="52" t="s">
        <v>274</v>
      </c>
      <c r="B78" s="652" t="s">
        <v>408</v>
      </c>
      <c r="C78" s="625"/>
      <c r="D78" s="625"/>
      <c r="E78" s="625"/>
      <c r="F78" s="625"/>
      <c r="G78" s="625"/>
      <c r="H78" s="534"/>
      <c r="I78" s="125" t="s">
        <v>227</v>
      </c>
    </row>
    <row r="79" spans="1:12" ht="15.75" customHeight="1">
      <c r="A79" s="78"/>
      <c r="B79" s="525" t="s">
        <v>358</v>
      </c>
      <c r="C79" s="526"/>
      <c r="D79" s="526"/>
      <c r="E79" s="526"/>
      <c r="F79" s="526"/>
      <c r="G79" s="526"/>
      <c r="H79" s="526"/>
      <c r="I79" s="55">
        <f>SUM(I69:I78)</f>
        <v>330.28999999999996</v>
      </c>
    </row>
    <row r="80" spans="1:12" ht="7.5" customHeight="1">
      <c r="A80" s="647"/>
      <c r="B80" s="655"/>
      <c r="C80" s="655"/>
      <c r="D80" s="655"/>
      <c r="E80" s="655"/>
      <c r="F80" s="655"/>
      <c r="G80" s="655"/>
      <c r="H80" s="655"/>
      <c r="I80" s="656"/>
    </row>
    <row r="81" spans="1:9" ht="15.75" customHeight="1">
      <c r="A81" s="657" t="s">
        <v>300</v>
      </c>
      <c r="B81" s="653"/>
      <c r="C81" s="653"/>
      <c r="D81" s="653"/>
      <c r="E81" s="653"/>
      <c r="F81" s="653"/>
      <c r="G81" s="653"/>
      <c r="H81" s="653"/>
      <c r="I81" s="654"/>
    </row>
    <row r="82" spans="1:9" ht="7.5" customHeight="1">
      <c r="A82" s="659"/>
      <c r="B82" s="660"/>
      <c r="C82" s="660"/>
      <c r="D82" s="660"/>
      <c r="E82" s="660"/>
      <c r="F82" s="660"/>
      <c r="G82" s="660"/>
      <c r="H82" s="660"/>
      <c r="I82" s="661"/>
    </row>
    <row r="83" spans="1:9" ht="30" customHeight="1">
      <c r="A83" s="657" t="s">
        <v>278</v>
      </c>
      <c r="B83" s="658"/>
      <c r="C83" s="658"/>
      <c r="D83" s="658"/>
      <c r="E83" s="658"/>
      <c r="F83" s="658"/>
      <c r="G83" s="658"/>
      <c r="H83" s="658"/>
      <c r="I83" s="399"/>
    </row>
    <row r="84" spans="1:9" ht="15.75" customHeight="1">
      <c r="A84" s="75">
        <v>3</v>
      </c>
      <c r="B84" s="528" t="s">
        <v>359</v>
      </c>
      <c r="C84" s="529"/>
      <c r="D84" s="529"/>
      <c r="E84" s="529"/>
      <c r="F84" s="529"/>
      <c r="G84" s="529"/>
      <c r="H84" s="651"/>
      <c r="I84" s="75" t="s">
        <v>127</v>
      </c>
    </row>
    <row r="85" spans="1:9" ht="15.75" customHeight="1">
      <c r="A85" s="52" t="s">
        <v>259</v>
      </c>
      <c r="B85" s="532" t="s">
        <v>431</v>
      </c>
      <c r="C85" s="533"/>
      <c r="D85" s="533"/>
      <c r="E85" s="533"/>
      <c r="F85" s="533"/>
      <c r="G85" s="533"/>
      <c r="H85" s="624"/>
      <c r="I85" s="88">
        <v>30</v>
      </c>
    </row>
    <row r="86" spans="1:9" ht="15.75" customHeight="1">
      <c r="A86" s="52" t="s">
        <v>261</v>
      </c>
      <c r="B86" s="532" t="s">
        <v>85</v>
      </c>
      <c r="C86" s="533"/>
      <c r="D86" s="533"/>
      <c r="E86" s="533"/>
      <c r="F86" s="533"/>
      <c r="G86" s="533"/>
      <c r="H86" s="629"/>
      <c r="I86" s="90">
        <v>210</v>
      </c>
    </row>
    <row r="87" spans="1:9" ht="15.75" customHeight="1">
      <c r="A87" s="52" t="s">
        <v>263</v>
      </c>
      <c r="B87" s="652" t="s">
        <v>407</v>
      </c>
      <c r="C87" s="625"/>
      <c r="D87" s="625"/>
      <c r="E87" s="625"/>
      <c r="F87" s="625"/>
      <c r="G87" s="625"/>
      <c r="H87" s="624"/>
      <c r="I87" s="90">
        <v>38</v>
      </c>
    </row>
    <row r="88" spans="1:9" ht="15.75" customHeight="1">
      <c r="A88" s="52" t="s">
        <v>264</v>
      </c>
      <c r="B88" s="532" t="s">
        <v>226</v>
      </c>
      <c r="C88" s="533"/>
      <c r="D88" s="533"/>
      <c r="E88" s="533"/>
      <c r="F88" s="533"/>
      <c r="G88" s="533"/>
      <c r="H88" s="629"/>
      <c r="I88" s="90" t="s">
        <v>285</v>
      </c>
    </row>
    <row r="89" spans="1:9" ht="15.75" customHeight="1">
      <c r="A89" s="525" t="s">
        <v>360</v>
      </c>
      <c r="B89" s="637"/>
      <c r="C89" s="637"/>
      <c r="D89" s="637"/>
      <c r="E89" s="637"/>
      <c r="F89" s="637"/>
      <c r="G89" s="637"/>
      <c r="H89" s="638"/>
      <c r="I89" s="54">
        <f>ROUND(SUM(I85:I88),2)</f>
        <v>278</v>
      </c>
    </row>
    <row r="90" spans="1:9" ht="8.25" customHeight="1">
      <c r="A90" s="641"/>
      <c r="B90" s="642"/>
      <c r="C90" s="642"/>
      <c r="D90" s="642"/>
      <c r="E90" s="642"/>
      <c r="F90" s="642"/>
      <c r="G90" s="642"/>
      <c r="H90" s="642"/>
      <c r="I90" s="643"/>
    </row>
    <row r="91" spans="1:9" ht="15.75" customHeight="1">
      <c r="A91" s="666" t="s">
        <v>339</v>
      </c>
      <c r="B91" s="667"/>
      <c r="C91" s="667"/>
      <c r="D91" s="667"/>
      <c r="E91" s="667"/>
      <c r="F91" s="667"/>
      <c r="G91" s="667"/>
      <c r="H91" s="667"/>
      <c r="I91" s="710"/>
    </row>
    <row r="92" spans="1:9" ht="8.25" customHeight="1">
      <c r="A92" s="63"/>
      <c r="B92" s="61"/>
      <c r="C92" s="61"/>
      <c r="D92" s="61"/>
      <c r="E92" s="61"/>
      <c r="F92" s="61"/>
      <c r="G92" s="61"/>
      <c r="H92" s="61"/>
      <c r="I92" s="62"/>
    </row>
    <row r="93" spans="1:9" s="4" customFormat="1" ht="32.25" customHeight="1">
      <c r="A93" s="618" t="s">
        <v>361</v>
      </c>
      <c r="B93" s="431"/>
      <c r="C93" s="431"/>
      <c r="D93" s="431"/>
      <c r="E93" s="431"/>
      <c r="F93" s="431"/>
      <c r="G93" s="431"/>
      <c r="H93" s="431"/>
      <c r="I93" s="340"/>
    </row>
    <row r="94" spans="1:9" s="4" customFormat="1" ht="30" customHeight="1">
      <c r="A94" s="76" t="s">
        <v>279</v>
      </c>
      <c r="B94" s="528" t="s">
        <v>362</v>
      </c>
      <c r="C94" s="529"/>
      <c r="D94" s="529"/>
      <c r="E94" s="529"/>
      <c r="F94" s="529"/>
      <c r="G94" s="626"/>
      <c r="H94" s="53" t="s">
        <v>363</v>
      </c>
      <c r="I94" s="53" t="s">
        <v>364</v>
      </c>
    </row>
    <row r="95" spans="1:9" s="4" customFormat="1" ht="15.75" customHeight="1">
      <c r="A95" s="83" t="s">
        <v>259</v>
      </c>
      <c r="B95" s="545" t="s">
        <v>128</v>
      </c>
      <c r="C95" s="546"/>
      <c r="D95" s="546"/>
      <c r="E95" s="546"/>
      <c r="F95" s="546"/>
      <c r="G95" s="547"/>
      <c r="H95" s="85" t="s">
        <v>227</v>
      </c>
      <c r="I95" s="73" t="s">
        <v>227</v>
      </c>
    </row>
    <row r="96" spans="1:9" s="4" customFormat="1" ht="15.75" customHeight="1">
      <c r="A96" s="83" t="s">
        <v>261</v>
      </c>
      <c r="B96" s="545" t="s">
        <v>129</v>
      </c>
      <c r="C96" s="546"/>
      <c r="D96" s="546"/>
      <c r="E96" s="546"/>
      <c r="F96" s="546"/>
      <c r="G96" s="547"/>
      <c r="H96" s="85" t="s">
        <v>227</v>
      </c>
      <c r="I96" s="73" t="s">
        <v>227</v>
      </c>
    </row>
    <row r="97" spans="1:9" s="4" customFormat="1" ht="15.75" customHeight="1">
      <c r="A97" s="83" t="s">
        <v>263</v>
      </c>
      <c r="B97" s="545" t="s">
        <v>130</v>
      </c>
      <c r="C97" s="546"/>
      <c r="D97" s="546"/>
      <c r="E97" s="546"/>
      <c r="F97" s="546"/>
      <c r="G97" s="547"/>
      <c r="H97" s="85" t="s">
        <v>227</v>
      </c>
      <c r="I97" s="73" t="s">
        <v>227</v>
      </c>
    </row>
    <row r="98" spans="1:9" s="4" customFormat="1" ht="15.75" customHeight="1">
      <c r="A98" s="83" t="s">
        <v>264</v>
      </c>
      <c r="B98" s="545" t="s">
        <v>131</v>
      </c>
      <c r="C98" s="546"/>
      <c r="D98" s="546"/>
      <c r="E98" s="546"/>
      <c r="F98" s="546"/>
      <c r="G98" s="547"/>
      <c r="H98" s="85" t="s">
        <v>227</v>
      </c>
      <c r="I98" s="73" t="s">
        <v>227</v>
      </c>
    </row>
    <row r="99" spans="1:9" ht="15.75" customHeight="1">
      <c r="A99" s="83" t="s">
        <v>272</v>
      </c>
      <c r="B99" s="532" t="s">
        <v>301</v>
      </c>
      <c r="C99" s="533"/>
      <c r="D99" s="533"/>
      <c r="E99" s="533"/>
      <c r="F99" s="533"/>
      <c r="G99" s="629"/>
      <c r="H99" s="85" t="s">
        <v>227</v>
      </c>
      <c r="I99" s="73" t="s">
        <v>227</v>
      </c>
    </row>
    <row r="100" spans="1:9" ht="15.75" customHeight="1">
      <c r="A100" s="83" t="s">
        <v>273</v>
      </c>
      <c r="B100" s="532" t="s">
        <v>132</v>
      </c>
      <c r="C100" s="533"/>
      <c r="D100" s="533"/>
      <c r="E100" s="533"/>
      <c r="F100" s="533"/>
      <c r="G100" s="629"/>
      <c r="H100" s="57">
        <v>0.08</v>
      </c>
      <c r="I100" s="51">
        <f>ROUND($I$66*H100,2)</f>
        <v>72.38</v>
      </c>
    </row>
    <row r="101" spans="1:9" ht="55.5" customHeight="1">
      <c r="A101" s="83" t="s">
        <v>274</v>
      </c>
      <c r="B101" s="507" t="s">
        <v>343</v>
      </c>
      <c r="C101" s="727"/>
      <c r="D101" s="111" t="s">
        <v>342</v>
      </c>
      <c r="E101" s="112">
        <v>0.03</v>
      </c>
      <c r="F101" s="111" t="s">
        <v>344</v>
      </c>
      <c r="G101" s="113">
        <v>1</v>
      </c>
      <c r="H101" s="123" t="s">
        <v>227</v>
      </c>
      <c r="I101" s="73" t="s">
        <v>227</v>
      </c>
    </row>
    <row r="102" spans="1:9" ht="15.75" customHeight="1">
      <c r="A102" s="83" t="s">
        <v>275</v>
      </c>
      <c r="B102" s="532" t="s">
        <v>133</v>
      </c>
      <c r="C102" s="533"/>
      <c r="D102" s="533"/>
      <c r="E102" s="533"/>
      <c r="F102" s="533"/>
      <c r="G102" s="629"/>
      <c r="H102" s="72" t="s">
        <v>227</v>
      </c>
      <c r="I102" s="73" t="s">
        <v>227</v>
      </c>
    </row>
    <row r="103" spans="1:9" ht="15.75" customHeight="1">
      <c r="A103" s="525" t="s">
        <v>134</v>
      </c>
      <c r="B103" s="536"/>
      <c r="C103" s="536"/>
      <c r="D103" s="536"/>
      <c r="E103" s="536"/>
      <c r="F103" s="536"/>
      <c r="G103" s="537"/>
      <c r="H103" s="124">
        <f>SUM(H95:H102)</f>
        <v>0.08</v>
      </c>
      <c r="I103" s="55">
        <f>SUM(I95:I102)</f>
        <v>72.38</v>
      </c>
    </row>
    <row r="104" spans="1:9" ht="8.25" customHeight="1">
      <c r="A104" s="64"/>
      <c r="B104" s="65"/>
      <c r="C104" s="65"/>
      <c r="D104" s="65"/>
      <c r="E104" s="65"/>
      <c r="F104" s="65"/>
      <c r="G104" s="65"/>
      <c r="H104" s="66"/>
      <c r="I104" s="67"/>
    </row>
    <row r="105" spans="1:9" ht="38.25" customHeight="1">
      <c r="A105" s="644" t="s">
        <v>387</v>
      </c>
      <c r="B105" s="645"/>
      <c r="C105" s="645"/>
      <c r="D105" s="645"/>
      <c r="E105" s="645"/>
      <c r="F105" s="645"/>
      <c r="G105" s="645"/>
      <c r="H105" s="645"/>
      <c r="I105" s="646"/>
    </row>
    <row r="106" spans="1:9" ht="7.5" customHeight="1">
      <c r="A106" s="647"/>
      <c r="B106" s="642"/>
      <c r="C106" s="642"/>
      <c r="D106" s="642"/>
      <c r="E106" s="642"/>
      <c r="F106" s="642"/>
      <c r="G106" s="642"/>
      <c r="H106" s="642"/>
      <c r="I106" s="643"/>
    </row>
    <row r="107" spans="1:9" ht="18" customHeight="1">
      <c r="A107" s="539" t="s">
        <v>365</v>
      </c>
      <c r="B107" s="639"/>
      <c r="C107" s="639"/>
      <c r="D107" s="639"/>
      <c r="E107" s="639"/>
      <c r="F107" s="639"/>
      <c r="G107" s="639"/>
      <c r="H107" s="639"/>
      <c r="I107" s="640"/>
    </row>
    <row r="108" spans="1:9" ht="15.75" customHeight="1">
      <c r="A108" s="75" t="s">
        <v>280</v>
      </c>
      <c r="B108" s="528" t="s">
        <v>367</v>
      </c>
      <c r="C108" s="529"/>
      <c r="D108" s="529"/>
      <c r="E108" s="529"/>
      <c r="F108" s="529"/>
      <c r="G108" s="529"/>
      <c r="H108" s="636"/>
      <c r="I108" s="75" t="s">
        <v>127</v>
      </c>
    </row>
    <row r="109" spans="1:9" ht="15.75" customHeight="1">
      <c r="A109" s="52" t="s">
        <v>259</v>
      </c>
      <c r="B109" s="545" t="s">
        <v>366</v>
      </c>
      <c r="C109" s="546"/>
      <c r="D109" s="546"/>
      <c r="E109" s="546"/>
      <c r="F109" s="546"/>
      <c r="G109" s="546"/>
      <c r="H109" s="629"/>
      <c r="I109" s="51">
        <f>ROUND($I$66/12,2)</f>
        <v>75.400000000000006</v>
      </c>
    </row>
    <row r="110" spans="1:9" ht="15.75" customHeight="1">
      <c r="A110" s="525" t="s">
        <v>281</v>
      </c>
      <c r="B110" s="526"/>
      <c r="C110" s="526"/>
      <c r="D110" s="526"/>
      <c r="E110" s="526"/>
      <c r="F110" s="526"/>
      <c r="G110" s="526"/>
      <c r="H110" s="511"/>
      <c r="I110" s="108">
        <f>SUM(I109:I109)</f>
        <v>75.400000000000006</v>
      </c>
    </row>
    <row r="111" spans="1:9" ht="21" customHeight="1">
      <c r="A111" s="52" t="s">
        <v>261</v>
      </c>
      <c r="B111" s="633" t="s">
        <v>429</v>
      </c>
      <c r="C111" s="634"/>
      <c r="D111" s="634"/>
      <c r="E111" s="634"/>
      <c r="F111" s="634"/>
      <c r="G111" s="634"/>
      <c r="H111" s="635"/>
      <c r="I111" s="93">
        <f>ROUND(H103*I110,2)</f>
        <v>6.03</v>
      </c>
    </row>
    <row r="112" spans="1:9" ht="15.75" customHeight="1">
      <c r="A112" s="548" t="s">
        <v>134</v>
      </c>
      <c r="B112" s="549"/>
      <c r="C112" s="549"/>
      <c r="D112" s="549"/>
      <c r="E112" s="549"/>
      <c r="F112" s="549"/>
      <c r="G112" s="549"/>
      <c r="H112" s="649"/>
      <c r="I112" s="56">
        <f>SUM(I110:I111)</f>
        <v>81.430000000000007</v>
      </c>
    </row>
    <row r="113" spans="1:11" ht="10.5" customHeight="1">
      <c r="A113" s="659"/>
      <c r="B113" s="691"/>
      <c r="C113" s="691"/>
      <c r="D113" s="691"/>
      <c r="E113" s="691"/>
      <c r="F113" s="691"/>
      <c r="G113" s="691"/>
      <c r="H113" s="691"/>
      <c r="I113" s="692"/>
    </row>
    <row r="114" spans="1:11" ht="24.75" customHeight="1">
      <c r="A114" s="539" t="s">
        <v>368</v>
      </c>
      <c r="B114" s="540"/>
      <c r="C114" s="540"/>
      <c r="D114" s="540"/>
      <c r="E114" s="540"/>
      <c r="F114" s="540"/>
      <c r="G114" s="540"/>
      <c r="H114" s="540"/>
      <c r="I114" s="541"/>
      <c r="K114" s="1">
        <f>1/12</f>
        <v>8.3333333333333329E-2</v>
      </c>
    </row>
    <row r="115" spans="1:11" ht="15.75" customHeight="1">
      <c r="A115" s="75" t="s">
        <v>282</v>
      </c>
      <c r="B115" s="542" t="s">
        <v>287</v>
      </c>
      <c r="C115" s="543"/>
      <c r="D115" s="543"/>
      <c r="E115" s="543"/>
      <c r="F115" s="543"/>
      <c r="G115" s="543"/>
      <c r="H115" s="544"/>
      <c r="I115" s="75" t="s">
        <v>127</v>
      </c>
    </row>
    <row r="116" spans="1:11" ht="15.75" customHeight="1">
      <c r="A116" s="52" t="s">
        <v>259</v>
      </c>
      <c r="B116" s="532" t="s">
        <v>337</v>
      </c>
      <c r="C116" s="533"/>
      <c r="D116" s="533"/>
      <c r="E116" s="533"/>
      <c r="F116" s="533"/>
      <c r="G116" s="533"/>
      <c r="H116" s="629"/>
      <c r="I116" s="51">
        <f>ROUND(((($I$66+$I$66/3)*4/12)/12)*0.02,2)</f>
        <v>0.67</v>
      </c>
    </row>
    <row r="117" spans="1:11" ht="15.75" customHeight="1">
      <c r="A117" s="52" t="s">
        <v>261</v>
      </c>
      <c r="B117" s="532" t="s">
        <v>424</v>
      </c>
      <c r="C117" s="533"/>
      <c r="D117" s="533"/>
      <c r="E117" s="533"/>
      <c r="F117" s="533"/>
      <c r="G117" s="533"/>
      <c r="H117" s="629"/>
      <c r="I117" s="51">
        <f>ROUND(H103*I116,2)</f>
        <v>0.05</v>
      </c>
    </row>
    <row r="118" spans="1:11" ht="15.75" customHeight="1">
      <c r="A118" s="525" t="s">
        <v>134</v>
      </c>
      <c r="B118" s="650"/>
      <c r="C118" s="650"/>
      <c r="D118" s="650"/>
      <c r="E118" s="650"/>
      <c r="F118" s="650"/>
      <c r="G118" s="650"/>
      <c r="H118" s="388"/>
      <c r="I118" s="55">
        <f>SUM(I116:I117)</f>
        <v>0.72000000000000008</v>
      </c>
    </row>
    <row r="119" spans="1:11" s="4" customFormat="1" ht="26.25" customHeight="1">
      <c r="A119" s="630" t="s">
        <v>369</v>
      </c>
      <c r="B119" s="631"/>
      <c r="C119" s="631"/>
      <c r="D119" s="631"/>
      <c r="E119" s="631"/>
      <c r="F119" s="631"/>
      <c r="G119" s="631"/>
      <c r="H119" s="631"/>
      <c r="I119" s="632"/>
    </row>
    <row r="120" spans="1:11" s="4" customFormat="1" ht="15.75" customHeight="1">
      <c r="A120" s="75" t="s">
        <v>283</v>
      </c>
      <c r="B120" s="542" t="s">
        <v>370</v>
      </c>
      <c r="C120" s="543"/>
      <c r="D120" s="543"/>
      <c r="E120" s="543"/>
      <c r="F120" s="543"/>
      <c r="G120" s="543"/>
      <c r="H120" s="544"/>
      <c r="I120" s="75" t="s">
        <v>127</v>
      </c>
    </row>
    <row r="121" spans="1:11" s="4" customFormat="1" ht="45" customHeight="1">
      <c r="A121" s="52" t="s">
        <v>259</v>
      </c>
      <c r="B121" s="545" t="s">
        <v>38</v>
      </c>
      <c r="C121" s="546"/>
      <c r="D121" s="546"/>
      <c r="E121" s="546"/>
      <c r="F121" s="546"/>
      <c r="G121" s="546"/>
      <c r="H121" s="547"/>
      <c r="I121" s="51">
        <f>ROUND((($I$66/12)+($I$109/12)+($I$130/12))*(30/30)*0.05,2)</f>
        <v>4.5</v>
      </c>
    </row>
    <row r="122" spans="1:11" s="4" customFormat="1" ht="15.75" customHeight="1">
      <c r="A122" s="52" t="s">
        <v>261</v>
      </c>
      <c r="B122" s="538" t="s">
        <v>371</v>
      </c>
      <c r="C122" s="538"/>
      <c r="D122" s="538"/>
      <c r="E122" s="538"/>
      <c r="F122" s="538"/>
      <c r="G122" s="538"/>
      <c r="H122" s="538"/>
      <c r="I122" s="51">
        <f>ROUND($H$100*I121,2)</f>
        <v>0.36</v>
      </c>
    </row>
    <row r="123" spans="1:11" s="4" customFormat="1" ht="24.75" customHeight="1">
      <c r="A123" s="52" t="s">
        <v>263</v>
      </c>
      <c r="B123" s="545" t="s">
        <v>456</v>
      </c>
      <c r="C123" s="546"/>
      <c r="D123" s="546"/>
      <c r="E123" s="546"/>
      <c r="F123" s="546"/>
      <c r="G123" s="546"/>
      <c r="H123" s="547"/>
      <c r="I123" s="51">
        <f>ROUND(0.08*0.5*($I$66+$I$109+$I$130)*0.05,2)</f>
        <v>2.16</v>
      </c>
    </row>
    <row r="124" spans="1:11" s="4" customFormat="1" ht="27" customHeight="1">
      <c r="A124" s="52" t="s">
        <v>264</v>
      </c>
      <c r="B124" s="648" t="s">
        <v>27</v>
      </c>
      <c r="C124" s="538"/>
      <c r="D124" s="538"/>
      <c r="E124" s="538"/>
      <c r="F124" s="538"/>
      <c r="G124" s="538"/>
      <c r="H124" s="538"/>
      <c r="I124" s="51">
        <f>ROUND(((($I$66/30)*7)/$H$11)*0.9,2)</f>
        <v>15.83</v>
      </c>
    </row>
    <row r="125" spans="1:11" s="4" customFormat="1" ht="15.75" customHeight="1">
      <c r="A125" s="52" t="s">
        <v>272</v>
      </c>
      <c r="B125" s="538" t="s">
        <v>423</v>
      </c>
      <c r="C125" s="538"/>
      <c r="D125" s="538"/>
      <c r="E125" s="538"/>
      <c r="F125" s="538"/>
      <c r="G125" s="538"/>
      <c r="H125" s="538"/>
      <c r="I125" s="51">
        <f>ROUND($H$103*I124,2)</f>
        <v>1.27</v>
      </c>
    </row>
    <row r="126" spans="1:11" s="4" customFormat="1" ht="24.75" customHeight="1">
      <c r="A126" s="52" t="s">
        <v>273</v>
      </c>
      <c r="B126" s="545" t="s">
        <v>457</v>
      </c>
      <c r="C126" s="546"/>
      <c r="D126" s="546"/>
      <c r="E126" s="546"/>
      <c r="F126" s="546"/>
      <c r="G126" s="546"/>
      <c r="H126" s="547"/>
      <c r="I126" s="51">
        <f>ROUND(0.08*0.5*($I$66+$I$109+$I$130)*0.9,2)</f>
        <v>38.909999999999997</v>
      </c>
    </row>
    <row r="127" spans="1:11" s="4" customFormat="1" ht="15.75" customHeight="1">
      <c r="A127" s="548" t="s">
        <v>134</v>
      </c>
      <c r="B127" s="549"/>
      <c r="C127" s="549"/>
      <c r="D127" s="549"/>
      <c r="E127" s="549"/>
      <c r="F127" s="549"/>
      <c r="G127" s="549"/>
      <c r="H127" s="549"/>
      <c r="I127" s="55">
        <f>SUM(I121:I126)</f>
        <v>63.03</v>
      </c>
    </row>
    <row r="128" spans="1:11" ht="24" customHeight="1">
      <c r="A128" s="539" t="s">
        <v>349</v>
      </c>
      <c r="B128" s="540"/>
      <c r="C128" s="540"/>
      <c r="D128" s="540"/>
      <c r="E128" s="540"/>
      <c r="F128" s="540"/>
      <c r="G128" s="540"/>
      <c r="H128" s="540"/>
      <c r="I128" s="541"/>
    </row>
    <row r="129" spans="1:11" ht="15.75" customHeight="1">
      <c r="A129" s="77" t="s">
        <v>284</v>
      </c>
      <c r="B129" s="542" t="s">
        <v>350</v>
      </c>
      <c r="C129" s="543"/>
      <c r="D129" s="543"/>
      <c r="E129" s="543"/>
      <c r="F129" s="543"/>
      <c r="G129" s="543"/>
      <c r="H129" s="544"/>
      <c r="I129" s="77" t="s">
        <v>127</v>
      </c>
    </row>
    <row r="130" spans="1:11" ht="15.75" customHeight="1">
      <c r="A130" s="94" t="s">
        <v>259</v>
      </c>
      <c r="B130" s="538" t="s">
        <v>351</v>
      </c>
      <c r="C130" s="538"/>
      <c r="D130" s="538"/>
      <c r="E130" s="538"/>
      <c r="F130" s="538"/>
      <c r="G130" s="538"/>
      <c r="H130" s="538"/>
      <c r="I130" s="51">
        <f>ROUND($I$66/12,2)+ROUND(($I$66/3)/12,2)</f>
        <v>100.53</v>
      </c>
    </row>
    <row r="131" spans="1:11" ht="15.75" customHeight="1">
      <c r="A131" s="94" t="s">
        <v>261</v>
      </c>
      <c r="B131" s="538" t="s">
        <v>348</v>
      </c>
      <c r="C131" s="538"/>
      <c r="D131" s="538"/>
      <c r="E131" s="538"/>
      <c r="F131" s="538"/>
      <c r="G131" s="538"/>
      <c r="H131" s="538"/>
      <c r="I131" s="95">
        <f>ROUND(((($I$66/30)*5)/12),2)</f>
        <v>12.57</v>
      </c>
    </row>
    <row r="132" spans="1:11" ht="15.75" customHeight="1">
      <c r="A132" s="94" t="s">
        <v>263</v>
      </c>
      <c r="B132" s="538" t="s">
        <v>346</v>
      </c>
      <c r="C132" s="538"/>
      <c r="D132" s="538"/>
      <c r="E132" s="538"/>
      <c r="F132" s="538"/>
      <c r="G132" s="538"/>
      <c r="H132" s="538"/>
      <c r="I132" s="95">
        <f>ROUND((($I$66/30)*5)/12*0.015,2)</f>
        <v>0.19</v>
      </c>
    </row>
    <row r="133" spans="1:11" ht="15.75" customHeight="1">
      <c r="A133" s="94" t="s">
        <v>264</v>
      </c>
      <c r="B133" s="538" t="s">
        <v>345</v>
      </c>
      <c r="C133" s="538"/>
      <c r="D133" s="538"/>
      <c r="E133" s="538"/>
      <c r="F133" s="538"/>
      <c r="G133" s="538"/>
      <c r="H133" s="538"/>
      <c r="I133" s="95">
        <f>ROUND((($I$66/30)*2.96)/12,2)</f>
        <v>7.44</v>
      </c>
    </row>
    <row r="134" spans="1:11" ht="15.75" customHeight="1">
      <c r="A134" s="94" t="s">
        <v>272</v>
      </c>
      <c r="B134" s="538" t="s">
        <v>112</v>
      </c>
      <c r="C134" s="538"/>
      <c r="D134" s="538"/>
      <c r="E134" s="538"/>
      <c r="F134" s="538"/>
      <c r="G134" s="538"/>
      <c r="H134" s="538"/>
      <c r="I134" s="96">
        <f>ROUND(((($I$66/30)*15)/12)*0.0078,2)</f>
        <v>0.28999999999999998</v>
      </c>
    </row>
    <row r="135" spans="1:11" ht="15.75" customHeight="1">
      <c r="A135" s="94" t="s">
        <v>273</v>
      </c>
      <c r="B135" s="538" t="s">
        <v>126</v>
      </c>
      <c r="C135" s="538"/>
      <c r="D135" s="538"/>
      <c r="E135" s="538"/>
      <c r="F135" s="538"/>
      <c r="G135" s="538"/>
      <c r="H135" s="538"/>
      <c r="I135" s="96">
        <v>0</v>
      </c>
    </row>
    <row r="136" spans="1:11" ht="15.75" customHeight="1">
      <c r="A136" s="548" t="s">
        <v>281</v>
      </c>
      <c r="B136" s="548"/>
      <c r="C136" s="548"/>
      <c r="D136" s="548"/>
      <c r="E136" s="548"/>
      <c r="F136" s="548"/>
      <c r="G136" s="548"/>
      <c r="H136" s="548"/>
      <c r="I136" s="58">
        <f>SUM(I130:I135)</f>
        <v>121.02</v>
      </c>
    </row>
    <row r="137" spans="1:11" ht="18" customHeight="1">
      <c r="A137" s="94" t="s">
        <v>274</v>
      </c>
      <c r="B137" s="519" t="s">
        <v>425</v>
      </c>
      <c r="C137" s="520"/>
      <c r="D137" s="520"/>
      <c r="E137" s="520"/>
      <c r="F137" s="520"/>
      <c r="G137" s="520"/>
      <c r="H137" s="742"/>
      <c r="I137" s="96">
        <f>ROUND(H103*I136,2)</f>
        <v>9.68</v>
      </c>
    </row>
    <row r="138" spans="1:11" ht="15.75" customHeight="1">
      <c r="A138" s="548" t="s">
        <v>134</v>
      </c>
      <c r="B138" s="548"/>
      <c r="C138" s="548"/>
      <c r="D138" s="548"/>
      <c r="E138" s="548"/>
      <c r="F138" s="548"/>
      <c r="G138" s="548"/>
      <c r="H138" s="548"/>
      <c r="I138" s="55">
        <f>SUM(I136:I137)</f>
        <v>130.69999999999999</v>
      </c>
    </row>
    <row r="139" spans="1:11" ht="28.5" customHeight="1">
      <c r="A139" s="630" t="s">
        <v>373</v>
      </c>
      <c r="B139" s="631"/>
      <c r="C139" s="631"/>
      <c r="D139" s="631"/>
      <c r="E139" s="631"/>
      <c r="F139" s="631"/>
      <c r="G139" s="631"/>
      <c r="H139" s="631"/>
      <c r="I139" s="632"/>
    </row>
    <row r="140" spans="1:11" ht="15.75" customHeight="1">
      <c r="A140" s="75">
        <v>4</v>
      </c>
      <c r="B140" s="528" t="s">
        <v>372</v>
      </c>
      <c r="C140" s="529"/>
      <c r="D140" s="529"/>
      <c r="E140" s="529"/>
      <c r="F140" s="529"/>
      <c r="G140" s="529"/>
      <c r="H140" s="626"/>
      <c r="I140" s="75" t="s">
        <v>127</v>
      </c>
    </row>
    <row r="141" spans="1:11" ht="15.75" customHeight="1">
      <c r="A141" s="52" t="s">
        <v>279</v>
      </c>
      <c r="B141" s="507" t="s">
        <v>362</v>
      </c>
      <c r="C141" s="507"/>
      <c r="D141" s="507"/>
      <c r="E141" s="507"/>
      <c r="F141" s="507"/>
      <c r="G141" s="507"/>
      <c r="H141" s="507"/>
      <c r="I141" s="88">
        <f>I103</f>
        <v>72.38</v>
      </c>
    </row>
    <row r="142" spans="1:11" ht="15.75" customHeight="1">
      <c r="A142" s="52" t="s">
        <v>280</v>
      </c>
      <c r="B142" s="507" t="s">
        <v>367</v>
      </c>
      <c r="C142" s="507"/>
      <c r="D142" s="507"/>
      <c r="E142" s="507"/>
      <c r="F142" s="507"/>
      <c r="G142" s="507"/>
      <c r="H142" s="507"/>
      <c r="I142" s="88">
        <f>I112</f>
        <v>81.430000000000007</v>
      </c>
    </row>
    <row r="143" spans="1:11" ht="15.75" customHeight="1">
      <c r="A143" s="52" t="s">
        <v>282</v>
      </c>
      <c r="B143" s="507" t="s">
        <v>287</v>
      </c>
      <c r="C143" s="507"/>
      <c r="D143" s="507"/>
      <c r="E143" s="507"/>
      <c r="F143" s="507"/>
      <c r="G143" s="507"/>
      <c r="H143" s="507"/>
      <c r="I143" s="88">
        <f>I118</f>
        <v>0.72000000000000008</v>
      </c>
    </row>
    <row r="144" spans="1:11" ht="15.75" customHeight="1">
      <c r="A144" s="52" t="s">
        <v>283</v>
      </c>
      <c r="B144" s="507" t="s">
        <v>288</v>
      </c>
      <c r="C144" s="507"/>
      <c r="D144" s="507"/>
      <c r="E144" s="507"/>
      <c r="F144" s="507"/>
      <c r="G144" s="507"/>
      <c r="H144" s="507"/>
      <c r="I144" s="88">
        <f>I127</f>
        <v>63.03</v>
      </c>
      <c r="K144" s="47"/>
    </row>
    <row r="145" spans="1:9" ht="15.75" customHeight="1">
      <c r="A145" s="52" t="s">
        <v>284</v>
      </c>
      <c r="B145" s="507" t="s">
        <v>289</v>
      </c>
      <c r="C145" s="507"/>
      <c r="D145" s="507"/>
      <c r="E145" s="507"/>
      <c r="F145" s="507"/>
      <c r="G145" s="507"/>
      <c r="H145" s="507"/>
      <c r="I145" s="88">
        <f>I138</f>
        <v>130.69999999999999</v>
      </c>
    </row>
    <row r="146" spans="1:9" ht="15.75" customHeight="1">
      <c r="A146" s="52" t="s">
        <v>286</v>
      </c>
      <c r="B146" s="507" t="s">
        <v>126</v>
      </c>
      <c r="C146" s="507"/>
      <c r="D146" s="507"/>
      <c r="E146" s="507"/>
      <c r="F146" s="507"/>
      <c r="G146" s="507"/>
      <c r="H146" s="507"/>
      <c r="I146" s="88">
        <v>0</v>
      </c>
    </row>
    <row r="147" spans="1:9" ht="15.75" customHeight="1">
      <c r="A147" s="525" t="s">
        <v>134</v>
      </c>
      <c r="B147" s="536"/>
      <c r="C147" s="536"/>
      <c r="D147" s="536"/>
      <c r="E147" s="536"/>
      <c r="F147" s="536"/>
      <c r="G147" s="536"/>
      <c r="H147" s="537"/>
      <c r="I147" s="55">
        <f>SUM(I141:I146)</f>
        <v>348.26</v>
      </c>
    </row>
    <row r="148" spans="1:9" s="4" customFormat="1" ht="29.25" customHeight="1">
      <c r="A148" s="707" t="s">
        <v>333</v>
      </c>
      <c r="B148" s="708"/>
      <c r="C148" s="708"/>
      <c r="D148" s="708"/>
      <c r="E148" s="708"/>
      <c r="F148" s="708"/>
      <c r="G148" s="708"/>
      <c r="H148" s="708"/>
      <c r="I148" s="708"/>
    </row>
    <row r="149" spans="1:9" ht="32.25" customHeight="1">
      <c r="A149" s="75">
        <v>5</v>
      </c>
      <c r="B149" s="542" t="s">
        <v>374</v>
      </c>
      <c r="C149" s="543"/>
      <c r="D149" s="543"/>
      <c r="E149" s="543"/>
      <c r="F149" s="543"/>
      <c r="G149" s="544"/>
      <c r="H149" s="53" t="s">
        <v>363</v>
      </c>
      <c r="I149" s="116" t="s">
        <v>388</v>
      </c>
    </row>
    <row r="150" spans="1:9" ht="40.5" customHeight="1">
      <c r="A150" s="728" t="s">
        <v>317</v>
      </c>
      <c r="B150" s="729"/>
      <c r="C150" s="729"/>
      <c r="D150" s="729"/>
      <c r="E150" s="729"/>
      <c r="F150" s="729"/>
      <c r="G150" s="730"/>
      <c r="H150" s="69" t="s">
        <v>227</v>
      </c>
      <c r="I150" s="97">
        <f>SUM(I66+I79+I89+I147)</f>
        <v>1861.35</v>
      </c>
    </row>
    <row r="151" spans="1:9" ht="15.75" customHeight="1">
      <c r="A151" s="115" t="s">
        <v>259</v>
      </c>
      <c r="B151" s="709" t="s">
        <v>375</v>
      </c>
      <c r="C151" s="709"/>
      <c r="D151" s="709"/>
      <c r="E151" s="709"/>
      <c r="F151" s="709"/>
      <c r="G151" s="709"/>
      <c r="H151" s="57">
        <v>0.03</v>
      </c>
      <c r="I151" s="51">
        <f>ROUND(H151*I150,2)</f>
        <v>55.84</v>
      </c>
    </row>
    <row r="152" spans="1:9" ht="37.5" customHeight="1">
      <c r="A152" s="728" t="s">
        <v>318</v>
      </c>
      <c r="B152" s="731"/>
      <c r="C152" s="731"/>
      <c r="D152" s="731"/>
      <c r="E152" s="731"/>
      <c r="F152" s="731"/>
      <c r="G152" s="732"/>
      <c r="H152" s="70" t="s">
        <v>227</v>
      </c>
      <c r="I152" s="97">
        <f>SUM(I66+I79+I89+I147+I151)</f>
        <v>1917.1899999999998</v>
      </c>
    </row>
    <row r="153" spans="1:9" ht="15.75" customHeight="1">
      <c r="A153" s="115" t="s">
        <v>261</v>
      </c>
      <c r="B153" s="709" t="s">
        <v>290</v>
      </c>
      <c r="C153" s="709"/>
      <c r="D153" s="709"/>
      <c r="E153" s="709"/>
      <c r="F153" s="709"/>
      <c r="G153" s="709"/>
      <c r="H153" s="57">
        <v>6.7900000000000002E-2</v>
      </c>
      <c r="I153" s="51">
        <f>ROUND(H153*I152,2)</f>
        <v>130.18</v>
      </c>
    </row>
    <row r="154" spans="1:9" ht="45" customHeight="1">
      <c r="A154" s="728" t="s">
        <v>336</v>
      </c>
      <c r="B154" s="731"/>
      <c r="C154" s="731"/>
      <c r="D154" s="731"/>
      <c r="E154" s="731"/>
      <c r="F154" s="731"/>
      <c r="G154" s="732"/>
      <c r="H154" s="70" t="s">
        <v>227</v>
      </c>
      <c r="I154" s="97">
        <f>SUM(I66+I79+I89+I147+I151+I153)</f>
        <v>2047.37</v>
      </c>
    </row>
    <row r="155" spans="1:9" ht="15.75" customHeight="1">
      <c r="A155" s="52" t="s">
        <v>263</v>
      </c>
      <c r="B155" s="738" t="s">
        <v>291</v>
      </c>
      <c r="C155" s="738"/>
      <c r="D155" s="738"/>
      <c r="E155" s="738"/>
      <c r="F155" s="738"/>
      <c r="G155" s="738"/>
      <c r="H155" s="72"/>
      <c r="I155" s="51"/>
    </row>
    <row r="156" spans="1:9" ht="15.75" customHeight="1">
      <c r="A156" s="52"/>
      <c r="B156" s="857" t="s">
        <v>406</v>
      </c>
      <c r="C156" s="858"/>
      <c r="D156" s="858"/>
      <c r="E156" s="858"/>
      <c r="F156" s="858"/>
      <c r="G156" s="858"/>
      <c r="H156" s="57">
        <v>7.7100000000000002E-2</v>
      </c>
      <c r="I156" s="51">
        <f>ROUND(($I$154/(1-H166))*H156,2)</f>
        <v>187.21</v>
      </c>
    </row>
    <row r="157" spans="1:9" ht="15.75" customHeight="1">
      <c r="A157" s="52"/>
      <c r="B157" s="652" t="s">
        <v>376</v>
      </c>
      <c r="C157" s="859"/>
      <c r="D157" s="859"/>
      <c r="E157" s="859"/>
      <c r="F157" s="859"/>
      <c r="G157" s="860"/>
      <c r="H157" s="72"/>
      <c r="I157" s="73"/>
    </row>
    <row r="158" spans="1:9" ht="27.75" customHeight="1">
      <c r="A158" s="52"/>
      <c r="B158" s="733" t="s">
        <v>404</v>
      </c>
      <c r="C158" s="734"/>
      <c r="D158" s="734"/>
      <c r="E158" s="734"/>
      <c r="F158" s="734"/>
      <c r="G158" s="735"/>
      <c r="H158" s="48">
        <v>2.4E-2</v>
      </c>
      <c r="I158" s="51">
        <f>ROUND(($I$154/(1-$H$166))*H158,2)</f>
        <v>58.27</v>
      </c>
    </row>
    <row r="159" spans="1:9" ht="27.75" customHeight="1">
      <c r="A159" s="52"/>
      <c r="B159" s="733" t="s">
        <v>405</v>
      </c>
      <c r="C159" s="734"/>
      <c r="D159" s="734"/>
      <c r="E159" s="734"/>
      <c r="F159" s="734"/>
      <c r="G159" s="735"/>
      <c r="H159" s="48">
        <v>5.7000000000000002E-3</v>
      </c>
      <c r="I159" s="51">
        <f>ROUND(($I$154/(1-$H$166))*H159,2)</f>
        <v>13.84</v>
      </c>
    </row>
    <row r="160" spans="1:9" ht="29.25" customHeight="1">
      <c r="A160" s="52"/>
      <c r="B160" s="728" t="s">
        <v>308</v>
      </c>
      <c r="C160" s="736"/>
      <c r="D160" s="736"/>
      <c r="E160" s="736"/>
      <c r="F160" s="736"/>
      <c r="G160" s="737"/>
      <c r="H160" s="71" t="s">
        <v>227</v>
      </c>
      <c r="I160" s="73" t="s">
        <v>227</v>
      </c>
    </row>
    <row r="161" spans="1:11" ht="18" customHeight="1">
      <c r="A161" s="52"/>
      <c r="B161" s="627" t="s">
        <v>380</v>
      </c>
      <c r="C161" s="628"/>
      <c r="D161" s="628"/>
      <c r="E161" s="628"/>
      <c r="F161" s="628"/>
      <c r="G161" s="628"/>
      <c r="H161" s="71" t="s">
        <v>227</v>
      </c>
      <c r="I161" s="73" t="s">
        <v>227</v>
      </c>
    </row>
    <row r="162" spans="1:11" ht="18" customHeight="1">
      <c r="A162" s="52"/>
      <c r="B162" s="545" t="s">
        <v>381</v>
      </c>
      <c r="C162" s="533"/>
      <c r="D162" s="533"/>
      <c r="E162" s="533"/>
      <c r="F162" s="533"/>
      <c r="G162" s="533"/>
      <c r="H162" s="71" t="s">
        <v>227</v>
      </c>
      <c r="I162" s="73" t="s">
        <v>227</v>
      </c>
    </row>
    <row r="163" spans="1:11" ht="39.75" customHeight="1">
      <c r="A163" s="52"/>
      <c r="B163" s="733" t="s">
        <v>403</v>
      </c>
      <c r="C163" s="734"/>
      <c r="D163" s="734"/>
      <c r="E163" s="734"/>
      <c r="F163" s="734"/>
      <c r="G163" s="735"/>
      <c r="H163" s="48">
        <v>0.05</v>
      </c>
      <c r="I163" s="51">
        <f>ROUND(($I$154/(1-$H$166))*H163,2)</f>
        <v>121.4</v>
      </c>
    </row>
    <row r="164" spans="1:11" ht="15.75" customHeight="1">
      <c r="A164" s="525" t="s">
        <v>134</v>
      </c>
      <c r="B164" s="536"/>
      <c r="C164" s="536"/>
      <c r="D164" s="536"/>
      <c r="E164" s="536"/>
      <c r="F164" s="536"/>
      <c r="G164" s="536"/>
      <c r="H164" s="537"/>
      <c r="I164" s="55">
        <f>SUM(I151+I153+I156+I158+I159+I163)</f>
        <v>566.74</v>
      </c>
    </row>
    <row r="165" spans="1:11" ht="6.75" customHeight="1">
      <c r="A165" s="739"/>
      <c r="B165" s="740"/>
      <c r="C165" s="740"/>
      <c r="D165" s="740"/>
      <c r="E165" s="740"/>
      <c r="F165" s="740"/>
      <c r="G165" s="740"/>
      <c r="H165" s="740"/>
      <c r="I165" s="741"/>
    </row>
    <row r="166" spans="1:11" ht="15.75" customHeight="1">
      <c r="A166" s="705" t="s">
        <v>409</v>
      </c>
      <c r="B166" s="706"/>
      <c r="C166" s="706"/>
      <c r="D166" s="706"/>
      <c r="E166" s="706"/>
      <c r="F166" s="706"/>
      <c r="G166" s="706"/>
      <c r="H166" s="98">
        <f>SUM(H156:H163)</f>
        <v>0.15679999999999999</v>
      </c>
      <c r="I166" s="34">
        <f>SUM(I156:I163)</f>
        <v>380.72</v>
      </c>
    </row>
    <row r="167" spans="1:11" ht="12.75" customHeight="1">
      <c r="A167" s="695" t="s">
        <v>292</v>
      </c>
      <c r="B167" s="696"/>
      <c r="C167" s="703" t="s">
        <v>294</v>
      </c>
      <c r="D167" s="704"/>
      <c r="E167" s="704"/>
      <c r="F167" s="704"/>
      <c r="G167" s="704"/>
      <c r="H167" s="704"/>
      <c r="I167" s="704"/>
    </row>
    <row r="168" spans="1:11" ht="12" customHeight="1">
      <c r="A168" s="697"/>
      <c r="B168" s="698"/>
      <c r="C168" s="723" t="s">
        <v>293</v>
      </c>
      <c r="D168" s="724"/>
      <c r="E168" s="724"/>
      <c r="F168" s="724"/>
      <c r="G168" s="724"/>
      <c r="H168" s="724"/>
      <c r="I168" s="724"/>
    </row>
    <row r="169" spans="1:11" ht="13.5" customHeight="1">
      <c r="A169" s="699"/>
      <c r="B169" s="700"/>
      <c r="C169" s="725" t="s">
        <v>295</v>
      </c>
      <c r="D169" s="726"/>
      <c r="E169" s="726"/>
      <c r="F169" s="726"/>
      <c r="G169" s="726"/>
      <c r="H169" s="726"/>
      <c r="I169" s="726"/>
    </row>
    <row r="170" spans="1:11" ht="6.75" customHeight="1">
      <c r="A170" s="701"/>
      <c r="B170" s="702"/>
      <c r="C170" s="702"/>
      <c r="D170" s="702"/>
      <c r="E170" s="702"/>
      <c r="F170" s="702"/>
      <c r="G170" s="702"/>
      <c r="H170" s="702"/>
      <c r="I170" s="702"/>
    </row>
    <row r="171" spans="1:11" ht="32.25" customHeight="1">
      <c r="A171" s="545" t="s">
        <v>382</v>
      </c>
      <c r="B171" s="533"/>
      <c r="C171" s="533"/>
      <c r="D171" s="533"/>
      <c r="E171" s="533"/>
      <c r="F171" s="533"/>
      <c r="G171" s="533"/>
      <c r="H171" s="533"/>
      <c r="I171" s="629"/>
    </row>
    <row r="172" spans="1:11" ht="5.25" customHeight="1">
      <c r="A172" s="693"/>
      <c r="B172" s="694"/>
      <c r="C172" s="694"/>
      <c r="D172" s="694"/>
      <c r="E172" s="694"/>
      <c r="F172" s="694"/>
      <c r="G172" s="694"/>
      <c r="H172" s="694"/>
      <c r="I172" s="694"/>
    </row>
    <row r="173" spans="1:11" ht="45" customHeight="1">
      <c r="A173" s="748" t="s">
        <v>383</v>
      </c>
      <c r="B173" s="749"/>
      <c r="C173" s="749"/>
      <c r="D173" s="749"/>
      <c r="E173" s="749"/>
      <c r="F173" s="749"/>
      <c r="G173" s="749"/>
      <c r="H173" s="749"/>
      <c r="I173" s="750"/>
    </row>
    <row r="174" spans="1:11" ht="15" customHeight="1">
      <c r="A174" s="848" t="s">
        <v>114</v>
      </c>
      <c r="B174" s="849"/>
      <c r="C174" s="849"/>
      <c r="D174" s="849"/>
      <c r="E174" s="849"/>
      <c r="F174" s="849"/>
      <c r="G174" s="849"/>
      <c r="H174" s="849"/>
      <c r="I174" s="35" t="s">
        <v>127</v>
      </c>
    </row>
    <row r="175" spans="1:11" ht="15" customHeight="1">
      <c r="A175" s="99" t="s">
        <v>259</v>
      </c>
      <c r="B175" s="533" t="s">
        <v>384</v>
      </c>
      <c r="C175" s="533"/>
      <c r="D175" s="533"/>
      <c r="E175" s="533"/>
      <c r="F175" s="533"/>
      <c r="G175" s="533"/>
      <c r="H175" s="533"/>
      <c r="I175" s="90">
        <f>I66</f>
        <v>904.8</v>
      </c>
      <c r="K175" s="59"/>
    </row>
    <row r="176" spans="1:11" ht="15" customHeight="1">
      <c r="A176" s="99" t="s">
        <v>261</v>
      </c>
      <c r="B176" s="533" t="s">
        <v>101</v>
      </c>
      <c r="C176" s="533"/>
      <c r="D176" s="533"/>
      <c r="E176" s="533"/>
      <c r="F176" s="533"/>
      <c r="G176" s="533"/>
      <c r="H176" s="533"/>
      <c r="I176" s="90">
        <f>I79</f>
        <v>330.28999999999996</v>
      </c>
    </row>
    <row r="177" spans="1:9" ht="15" customHeight="1">
      <c r="A177" s="99" t="s">
        <v>263</v>
      </c>
      <c r="B177" s="533" t="s">
        <v>102</v>
      </c>
      <c r="C177" s="533"/>
      <c r="D177" s="533"/>
      <c r="E177" s="533"/>
      <c r="F177" s="533"/>
      <c r="G177" s="533"/>
      <c r="H177" s="533"/>
      <c r="I177" s="90">
        <f>I89</f>
        <v>278</v>
      </c>
    </row>
    <row r="178" spans="1:9" ht="15" customHeight="1">
      <c r="A178" s="99" t="s">
        <v>264</v>
      </c>
      <c r="B178" s="533" t="s">
        <v>372</v>
      </c>
      <c r="C178" s="533"/>
      <c r="D178" s="533"/>
      <c r="E178" s="533"/>
      <c r="F178" s="533"/>
      <c r="G178" s="533"/>
      <c r="H178" s="533"/>
      <c r="I178" s="90">
        <f>I147</f>
        <v>348.26</v>
      </c>
    </row>
    <row r="179" spans="1:9" ht="15" customHeight="1">
      <c r="A179" s="617" t="s">
        <v>115</v>
      </c>
      <c r="B179" s="387"/>
      <c r="C179" s="387"/>
      <c r="D179" s="387"/>
      <c r="E179" s="387"/>
      <c r="F179" s="387"/>
      <c r="G179" s="387"/>
      <c r="H179" s="387"/>
      <c r="I179" s="54">
        <f>SUM(I175:I178)</f>
        <v>1861.35</v>
      </c>
    </row>
    <row r="180" spans="1:9" ht="15" customHeight="1">
      <c r="A180" s="117" t="s">
        <v>272</v>
      </c>
      <c r="B180" s="533" t="s">
        <v>103</v>
      </c>
      <c r="C180" s="533"/>
      <c r="D180" s="533"/>
      <c r="E180" s="533"/>
      <c r="F180" s="533"/>
      <c r="G180" s="533"/>
      <c r="H180" s="533"/>
      <c r="I180" s="90">
        <f>I164</f>
        <v>566.74</v>
      </c>
    </row>
    <row r="181" spans="1:9" ht="15" customHeight="1">
      <c r="A181" s="617" t="s">
        <v>104</v>
      </c>
      <c r="B181" s="387"/>
      <c r="C181" s="387"/>
      <c r="D181" s="387"/>
      <c r="E181" s="387"/>
      <c r="F181" s="387"/>
      <c r="G181" s="387"/>
      <c r="H181" s="387"/>
      <c r="I181" s="54">
        <f>SUM(I179:I180)</f>
        <v>2428.09</v>
      </c>
    </row>
    <row r="182" spans="1:9" ht="30.75" customHeight="1">
      <c r="A182" s="755" t="s">
        <v>307</v>
      </c>
      <c r="B182" s="756"/>
      <c r="C182" s="756"/>
      <c r="D182" s="756"/>
      <c r="E182" s="756"/>
      <c r="F182" s="756"/>
      <c r="G182" s="756"/>
      <c r="H182" s="756"/>
      <c r="I182" s="757"/>
    </row>
    <row r="183" spans="1:9" ht="48.75" customHeight="1">
      <c r="A183" s="751" t="s">
        <v>105</v>
      </c>
      <c r="B183" s="752"/>
      <c r="C183" s="752"/>
      <c r="D183" s="752"/>
      <c r="E183" s="752"/>
      <c r="F183" s="752"/>
      <c r="G183" s="752"/>
      <c r="H183" s="752"/>
      <c r="I183" s="753"/>
    </row>
    <row r="184" spans="1:9" ht="63" customHeight="1">
      <c r="A184" s="758" t="s">
        <v>117</v>
      </c>
      <c r="B184" s="754"/>
      <c r="C184" s="754" t="s">
        <v>116</v>
      </c>
      <c r="D184" s="754"/>
      <c r="E184" s="104" t="s">
        <v>118</v>
      </c>
      <c r="F184" s="754" t="s">
        <v>119</v>
      </c>
      <c r="G184" s="754"/>
      <c r="H184" s="103" t="s">
        <v>120</v>
      </c>
      <c r="I184" s="103" t="s">
        <v>121</v>
      </c>
    </row>
    <row r="185" spans="1:9" ht="14.25" customHeight="1">
      <c r="A185" s="475" t="s">
        <v>122</v>
      </c>
      <c r="B185" s="535"/>
      <c r="C185" s="535" t="s">
        <v>305</v>
      </c>
      <c r="D185" s="535"/>
      <c r="E185" s="106"/>
      <c r="F185" s="535" t="s">
        <v>305</v>
      </c>
      <c r="G185" s="535"/>
      <c r="H185" s="107"/>
      <c r="I185" s="105" t="s">
        <v>305</v>
      </c>
    </row>
    <row r="186" spans="1:9" ht="15.75" customHeight="1">
      <c r="A186" s="475" t="s">
        <v>304</v>
      </c>
      <c r="B186" s="535"/>
      <c r="C186" s="535" t="s">
        <v>305</v>
      </c>
      <c r="D186" s="535"/>
      <c r="E186" s="106"/>
      <c r="F186" s="535" t="s">
        <v>305</v>
      </c>
      <c r="G186" s="535"/>
      <c r="H186" s="107"/>
      <c r="I186" s="105" t="s">
        <v>305</v>
      </c>
    </row>
    <row r="187" spans="1:9" ht="12.75">
      <c r="A187" s="475" t="s">
        <v>303</v>
      </c>
      <c r="B187" s="535"/>
      <c r="C187" s="535" t="s">
        <v>305</v>
      </c>
      <c r="D187" s="535"/>
      <c r="E187" s="105"/>
      <c r="F187" s="535" t="s">
        <v>305</v>
      </c>
      <c r="G187" s="535"/>
      <c r="H187" s="105"/>
      <c r="I187" s="105" t="s">
        <v>305</v>
      </c>
    </row>
    <row r="188" spans="1:9" ht="12.75">
      <c r="A188" s="462" t="s">
        <v>106</v>
      </c>
      <c r="B188" s="463"/>
      <c r="C188" s="463"/>
      <c r="D188" s="463"/>
      <c r="E188" s="463"/>
      <c r="F188" s="463"/>
      <c r="G188" s="463"/>
      <c r="H188" s="463"/>
      <c r="I188" s="105"/>
    </row>
    <row r="189" spans="1:9" ht="42" customHeight="1">
      <c r="A189" s="751" t="s">
        <v>107</v>
      </c>
      <c r="B189" s="523"/>
      <c r="C189" s="523"/>
      <c r="D189" s="523"/>
      <c r="E189" s="523"/>
      <c r="F189" s="523"/>
      <c r="G189" s="523"/>
      <c r="H189" s="523"/>
      <c r="I189" s="524"/>
    </row>
    <row r="190" spans="1:9" ht="21.75" customHeight="1">
      <c r="A190" s="751" t="s">
        <v>108</v>
      </c>
      <c r="B190" s="523"/>
      <c r="C190" s="523"/>
      <c r="D190" s="523"/>
      <c r="E190" s="523"/>
      <c r="F190" s="523"/>
      <c r="G190" s="523"/>
      <c r="H190" s="523"/>
      <c r="I190" s="524"/>
    </row>
    <row r="191" spans="1:9" ht="18" customHeight="1">
      <c r="A191" s="522" t="s">
        <v>123</v>
      </c>
      <c r="B191" s="523"/>
      <c r="C191" s="523"/>
      <c r="D191" s="523"/>
      <c r="E191" s="523"/>
      <c r="F191" s="523"/>
      <c r="G191" s="523"/>
      <c r="H191" s="524"/>
      <c r="I191" s="103" t="s">
        <v>127</v>
      </c>
    </row>
    <row r="192" spans="1:9" ht="12.75">
      <c r="A192" s="743" t="s">
        <v>390</v>
      </c>
      <c r="B192" s="734"/>
      <c r="C192" s="734"/>
      <c r="D192" s="734"/>
      <c r="E192" s="734"/>
      <c r="F192" s="734"/>
      <c r="G192" s="734"/>
      <c r="H192" s="735"/>
      <c r="I192" s="105"/>
    </row>
    <row r="193" spans="1:13" ht="12.75">
      <c r="A193" s="743" t="s">
        <v>124</v>
      </c>
      <c r="B193" s="734"/>
      <c r="C193" s="734"/>
      <c r="D193" s="734"/>
      <c r="E193" s="734"/>
      <c r="F193" s="734"/>
      <c r="G193" s="734"/>
      <c r="H193" s="735"/>
      <c r="I193" s="105"/>
    </row>
    <row r="194" spans="1:13" ht="21" customHeight="1">
      <c r="A194" s="743" t="s">
        <v>389</v>
      </c>
      <c r="B194" s="744"/>
      <c r="C194" s="744"/>
      <c r="D194" s="744"/>
      <c r="E194" s="744"/>
      <c r="F194" s="744"/>
      <c r="G194" s="744"/>
      <c r="H194" s="745"/>
      <c r="I194" s="105"/>
    </row>
    <row r="195" spans="1:13" ht="6.75" customHeight="1">
      <c r="A195" s="477"/>
      <c r="B195" s="478"/>
      <c r="C195" s="478"/>
      <c r="D195" s="478"/>
      <c r="E195" s="478"/>
      <c r="F195" s="478"/>
      <c r="G195" s="478"/>
      <c r="H195" s="478"/>
      <c r="I195" s="479"/>
    </row>
    <row r="196" spans="1:13" ht="15.75" customHeight="1">
      <c r="A196" s="475" t="s">
        <v>109</v>
      </c>
      <c r="B196" s="476"/>
      <c r="C196" s="476"/>
      <c r="D196" s="476"/>
      <c r="E196" s="476"/>
      <c r="F196" s="476"/>
      <c r="G196" s="476"/>
      <c r="H196" s="476"/>
      <c r="I196" s="476"/>
    </row>
    <row r="197" spans="1:13" ht="7.5" customHeight="1">
      <c r="A197" s="460"/>
      <c r="B197" s="461"/>
      <c r="C197" s="461"/>
      <c r="D197" s="461"/>
      <c r="E197" s="461"/>
      <c r="F197" s="461"/>
      <c r="G197" s="461"/>
      <c r="H197" s="461"/>
      <c r="I197" s="461"/>
    </row>
    <row r="198" spans="1:13" ht="15" hidden="1" customHeight="1">
      <c r="A198" s="26"/>
      <c r="B198" s="26"/>
      <c r="C198" s="26"/>
      <c r="D198" s="26"/>
      <c r="E198" s="26"/>
      <c r="F198" s="26"/>
      <c r="G198" s="26"/>
      <c r="H198" s="24"/>
      <c r="I198" s="41"/>
      <c r="J198" s="16"/>
      <c r="K198" s="9"/>
      <c r="L198" s="3"/>
      <c r="M198" s="10"/>
    </row>
    <row r="199" spans="1:13" ht="24" customHeight="1">
      <c r="A199" s="480" t="s">
        <v>306</v>
      </c>
      <c r="B199" s="480"/>
      <c r="C199" s="480"/>
      <c r="D199" s="480"/>
      <c r="E199" s="480"/>
      <c r="F199" s="480"/>
      <c r="G199" s="480"/>
      <c r="H199" s="480"/>
      <c r="I199" s="481"/>
    </row>
    <row r="200" spans="1:13" ht="15.75">
      <c r="A200" s="609" t="s">
        <v>162</v>
      </c>
      <c r="B200" s="609"/>
      <c r="C200" s="609"/>
      <c r="D200" s="609"/>
      <c r="E200" s="609"/>
      <c r="F200" s="609"/>
      <c r="G200" s="609"/>
      <c r="H200" s="609"/>
      <c r="I200" s="610"/>
    </row>
    <row r="201" spans="1:13" ht="11.45" customHeight="1">
      <c r="A201" s="19"/>
      <c r="B201" s="19"/>
      <c r="C201" s="19"/>
      <c r="D201" s="19"/>
      <c r="E201" s="19"/>
      <c r="F201" s="19"/>
      <c r="G201" s="19"/>
      <c r="H201" s="19"/>
      <c r="I201" s="38"/>
    </row>
    <row r="202" spans="1:13" ht="21" customHeight="1">
      <c r="A202" s="482" t="s">
        <v>110</v>
      </c>
      <c r="B202" s="482"/>
      <c r="C202" s="482"/>
      <c r="D202" s="482"/>
      <c r="E202" s="482"/>
      <c r="F202" s="482"/>
      <c r="G202" s="482"/>
      <c r="H202" s="482"/>
      <c r="I202" s="481"/>
    </row>
    <row r="203" spans="1:13" ht="48" customHeight="1">
      <c r="A203" s="611" t="s">
        <v>391</v>
      </c>
      <c r="B203" s="611"/>
      <c r="C203" s="611"/>
      <c r="D203" s="611"/>
      <c r="E203" s="611"/>
      <c r="F203" s="611"/>
      <c r="G203" s="611"/>
      <c r="H203" s="611"/>
      <c r="I203" s="612"/>
    </row>
    <row r="204" spans="1:13" ht="45" customHeight="1">
      <c r="A204" s="579" t="s">
        <v>225</v>
      </c>
      <c r="B204" s="447"/>
      <c r="C204" s="400" t="s">
        <v>148</v>
      </c>
      <c r="D204" s="400"/>
      <c r="E204" s="400" t="s">
        <v>149</v>
      </c>
      <c r="F204" s="400"/>
      <c r="G204" s="338" t="s">
        <v>150</v>
      </c>
      <c r="H204" s="339"/>
      <c r="I204" s="340"/>
    </row>
    <row r="205" spans="1:13" ht="14.25" customHeight="1">
      <c r="A205" s="366" t="s">
        <v>229</v>
      </c>
      <c r="B205" s="367"/>
      <c r="C205" s="613" t="s">
        <v>185</v>
      </c>
      <c r="D205" s="613"/>
      <c r="E205" s="341">
        <v>0</v>
      </c>
      <c r="F205" s="341"/>
      <c r="G205" s="345">
        <v>0</v>
      </c>
      <c r="H205" s="346"/>
      <c r="I205" s="337"/>
    </row>
    <row r="206" spans="1:13" ht="12" customHeight="1">
      <c r="A206" s="366" t="s">
        <v>230</v>
      </c>
      <c r="B206" s="367"/>
      <c r="C206" s="356" t="s">
        <v>186</v>
      </c>
      <c r="D206" s="356"/>
      <c r="E206" s="351">
        <f>I181</f>
        <v>2428.09</v>
      </c>
      <c r="F206" s="352"/>
      <c r="G206" s="357">
        <f>ROUND((1/600)*E206,2)</f>
        <v>4.05</v>
      </c>
      <c r="H206" s="358"/>
      <c r="I206" s="340"/>
    </row>
    <row r="207" spans="1:13" ht="12" customHeight="1">
      <c r="A207" s="370" t="s">
        <v>134</v>
      </c>
      <c r="B207" s="371"/>
      <c r="C207" s="372"/>
      <c r="D207" s="372"/>
      <c r="E207" s="372"/>
      <c r="F207" s="373"/>
      <c r="G207" s="357">
        <f>SUM(G205+G206)</f>
        <v>4.05</v>
      </c>
      <c r="H207" s="358"/>
      <c r="I207" s="340"/>
    </row>
    <row r="208" spans="1:13" ht="6.75" customHeight="1">
      <c r="A208" s="464"/>
      <c r="B208" s="465"/>
      <c r="C208" s="466"/>
      <c r="D208" s="466"/>
      <c r="E208" s="466"/>
      <c r="F208" s="466"/>
      <c r="G208" s="466"/>
      <c r="H208" s="466"/>
      <c r="I208" s="467"/>
    </row>
    <row r="209" spans="1:256" ht="12" customHeight="1">
      <c r="A209" s="595" t="s">
        <v>231</v>
      </c>
      <c r="B209" s="596"/>
      <c r="C209" s="353" t="s">
        <v>185</v>
      </c>
      <c r="D209" s="353"/>
      <c r="E209" s="344">
        <v>0</v>
      </c>
      <c r="F209" s="344"/>
      <c r="G209" s="345">
        <v>0</v>
      </c>
      <c r="H209" s="346"/>
      <c r="I209" s="337"/>
    </row>
    <row r="210" spans="1:256" ht="12.75">
      <c r="A210" s="366" t="s">
        <v>232</v>
      </c>
      <c r="B210" s="367"/>
      <c r="C210" s="356" t="s">
        <v>186</v>
      </c>
      <c r="D210" s="356"/>
      <c r="E210" s="341">
        <f>I181</f>
        <v>2428.09</v>
      </c>
      <c r="F210" s="341"/>
      <c r="G210" s="591">
        <f>ROUND((1/600)*E210,2)</f>
        <v>4.05</v>
      </c>
      <c r="H210" s="592"/>
      <c r="I210" s="337"/>
    </row>
    <row r="211" spans="1:256" ht="12.75">
      <c r="A211" s="362" t="s">
        <v>134</v>
      </c>
      <c r="B211" s="363"/>
      <c r="C211" s="364"/>
      <c r="D211" s="364"/>
      <c r="E211" s="364"/>
      <c r="F211" s="365"/>
      <c r="G211" s="357">
        <f>SUM(G209+G210)</f>
        <v>4.05</v>
      </c>
      <c r="H211" s="358"/>
      <c r="I211" s="340"/>
    </row>
    <row r="212" spans="1:256" ht="6.75" customHeight="1">
      <c r="A212" s="464"/>
      <c r="B212" s="465"/>
      <c r="C212" s="407"/>
      <c r="D212" s="407"/>
      <c r="E212" s="407"/>
      <c r="F212" s="407"/>
      <c r="G212" s="407"/>
      <c r="H212" s="407"/>
      <c r="I212" s="467"/>
      <c r="K212" s="8"/>
    </row>
    <row r="213" spans="1:256" ht="12.75">
      <c r="A213" s="355" t="s">
        <v>245</v>
      </c>
      <c r="B213" s="355"/>
      <c r="C213" s="353" t="s">
        <v>311</v>
      </c>
      <c r="D213" s="353"/>
      <c r="E213" s="588">
        <v>0</v>
      </c>
      <c r="F213" s="588"/>
      <c r="G213" s="345">
        <v>0</v>
      </c>
      <c r="H213" s="346"/>
      <c r="I213" s="337"/>
    </row>
    <row r="214" spans="1:256" ht="12.75">
      <c r="A214" s="368" t="s">
        <v>233</v>
      </c>
      <c r="B214" s="368"/>
      <c r="C214" s="356" t="s">
        <v>187</v>
      </c>
      <c r="D214" s="356"/>
      <c r="E214" s="342">
        <v>0</v>
      </c>
      <c r="F214" s="343"/>
      <c r="G214" s="345">
        <v>0</v>
      </c>
      <c r="H214" s="359"/>
      <c r="I214" s="337"/>
    </row>
    <row r="215" spans="1:256" ht="12.75">
      <c r="A215" s="362" t="s">
        <v>134</v>
      </c>
      <c r="B215" s="363"/>
      <c r="C215" s="364"/>
      <c r="D215" s="364"/>
      <c r="E215" s="364"/>
      <c r="F215" s="365"/>
      <c r="G215" s="357">
        <f>SUM(G213+G214)</f>
        <v>0</v>
      </c>
      <c r="H215" s="358"/>
      <c r="I215" s="340"/>
    </row>
    <row r="216" spans="1:256" ht="6" customHeight="1">
      <c r="A216" s="464"/>
      <c r="B216" s="465"/>
      <c r="C216" s="407"/>
      <c r="D216" s="407"/>
      <c r="E216" s="407"/>
      <c r="F216" s="407"/>
      <c r="G216" s="407"/>
      <c r="H216" s="407"/>
      <c r="I216" s="467"/>
    </row>
    <row r="217" spans="1:256" ht="13.5" customHeight="1">
      <c r="A217" s="354" t="s">
        <v>246</v>
      </c>
      <c r="B217" s="355"/>
      <c r="C217" s="353" t="s">
        <v>188</v>
      </c>
      <c r="D217" s="353"/>
      <c r="E217" s="344">
        <v>0</v>
      </c>
      <c r="F217" s="344"/>
      <c r="G217" s="356">
        <v>0</v>
      </c>
      <c r="H217" s="356"/>
      <c r="I217" s="397"/>
      <c r="J217" s="454"/>
      <c r="K217" s="454"/>
      <c r="L217" s="454"/>
      <c r="M217" s="454"/>
      <c r="N217" s="454"/>
      <c r="O217" s="454"/>
      <c r="P217" s="454"/>
      <c r="Q217" s="410" t="s">
        <v>165</v>
      </c>
      <c r="R217" s="410"/>
      <c r="S217" s="410"/>
      <c r="T217" s="410"/>
      <c r="U217" s="410"/>
      <c r="V217" s="410"/>
      <c r="W217" s="410"/>
      <c r="X217" s="410"/>
      <c r="Y217" s="410" t="s">
        <v>165</v>
      </c>
      <c r="Z217" s="410"/>
      <c r="AA217" s="410"/>
      <c r="AB217" s="410"/>
      <c r="AC217" s="410"/>
      <c r="AD217" s="410"/>
      <c r="AE217" s="410"/>
      <c r="AF217" s="410"/>
      <c r="AG217" s="410" t="s">
        <v>165</v>
      </c>
      <c r="AH217" s="410"/>
      <c r="AI217" s="410"/>
      <c r="AJ217" s="410"/>
      <c r="AK217" s="410"/>
      <c r="AL217" s="410"/>
      <c r="AM217" s="410"/>
      <c r="AN217" s="410"/>
      <c r="AO217" s="410" t="s">
        <v>165</v>
      </c>
      <c r="AP217" s="410"/>
      <c r="AQ217" s="410"/>
      <c r="AR217" s="410"/>
      <c r="AS217" s="410"/>
      <c r="AT217" s="410"/>
      <c r="AU217" s="410"/>
      <c r="AV217" s="410"/>
      <c r="AW217" s="410" t="s">
        <v>165</v>
      </c>
      <c r="AX217" s="410"/>
      <c r="AY217" s="410"/>
      <c r="AZ217" s="410"/>
      <c r="BA217" s="410"/>
      <c r="BB217" s="410"/>
      <c r="BC217" s="410"/>
      <c r="BD217" s="410"/>
      <c r="BE217" s="410" t="s">
        <v>165</v>
      </c>
      <c r="BF217" s="410"/>
      <c r="BG217" s="410"/>
      <c r="BH217" s="410"/>
      <c r="BI217" s="410"/>
      <c r="BJ217" s="410"/>
      <c r="BK217" s="410"/>
      <c r="BL217" s="410"/>
      <c r="BM217" s="410" t="s">
        <v>165</v>
      </c>
      <c r="BN217" s="410"/>
      <c r="BO217" s="410"/>
      <c r="BP217" s="410"/>
      <c r="BQ217" s="410"/>
      <c r="BR217" s="410"/>
      <c r="BS217" s="410"/>
      <c r="BT217" s="410"/>
      <c r="BU217" s="410" t="s">
        <v>165</v>
      </c>
      <c r="BV217" s="410"/>
      <c r="BW217" s="410"/>
      <c r="BX217" s="410"/>
      <c r="BY217" s="413"/>
      <c r="BZ217" s="414"/>
      <c r="CA217" s="414"/>
      <c r="CB217" s="414"/>
      <c r="CC217" s="410" t="s">
        <v>165</v>
      </c>
      <c r="CD217" s="410"/>
      <c r="CE217" s="410"/>
      <c r="CF217" s="410"/>
      <c r="CG217" s="410"/>
      <c r="CH217" s="410"/>
      <c r="CI217" s="410"/>
      <c r="CJ217" s="410"/>
      <c r="CK217" s="410" t="s">
        <v>165</v>
      </c>
      <c r="CL217" s="410"/>
      <c r="CM217" s="410"/>
      <c r="CN217" s="410"/>
      <c r="CO217" s="410"/>
      <c r="CP217" s="410"/>
      <c r="CQ217" s="410"/>
      <c r="CR217" s="410"/>
      <c r="CS217" s="410" t="s">
        <v>165</v>
      </c>
      <c r="CT217" s="410"/>
      <c r="CU217" s="410"/>
      <c r="CV217" s="410"/>
      <c r="CW217" s="410"/>
      <c r="CX217" s="410"/>
      <c r="CY217" s="410"/>
      <c r="CZ217" s="410"/>
      <c r="DA217" s="410" t="s">
        <v>165</v>
      </c>
      <c r="DB217" s="410"/>
      <c r="DC217" s="410"/>
      <c r="DD217" s="410"/>
      <c r="DE217" s="410"/>
      <c r="DF217" s="410"/>
      <c r="DG217" s="410"/>
      <c r="DH217" s="410"/>
      <c r="DI217" s="410" t="s">
        <v>165</v>
      </c>
      <c r="DJ217" s="410"/>
      <c r="DK217" s="410"/>
      <c r="DL217" s="410"/>
      <c r="DM217" s="410"/>
      <c r="DN217" s="410"/>
      <c r="DO217" s="410"/>
      <c r="DP217" s="410"/>
      <c r="DQ217" s="410" t="s">
        <v>165</v>
      </c>
      <c r="DR217" s="410"/>
      <c r="DS217" s="410"/>
      <c r="DT217" s="410"/>
      <c r="DU217" s="410"/>
      <c r="DV217" s="410"/>
      <c r="DW217" s="410"/>
      <c r="DX217" s="410"/>
      <c r="DY217" s="410" t="s">
        <v>165</v>
      </c>
      <c r="DZ217" s="410"/>
      <c r="EA217" s="410"/>
      <c r="EB217" s="410"/>
      <c r="EC217" s="410"/>
      <c r="ED217" s="410"/>
      <c r="EE217" s="410"/>
      <c r="EF217" s="410"/>
      <c r="EG217" s="410" t="s">
        <v>165</v>
      </c>
      <c r="EH217" s="410"/>
      <c r="EI217" s="410"/>
      <c r="EJ217" s="410"/>
      <c r="EK217" s="410"/>
      <c r="EL217" s="410"/>
      <c r="EM217" s="410"/>
      <c r="EN217" s="410"/>
      <c r="EO217" s="410" t="s">
        <v>165</v>
      </c>
      <c r="EP217" s="410"/>
      <c r="EQ217" s="410"/>
      <c r="ER217" s="410"/>
      <c r="ES217" s="410"/>
      <c r="ET217" s="410"/>
      <c r="EU217" s="410"/>
      <c r="EV217" s="410"/>
      <c r="EW217" s="410" t="s">
        <v>165</v>
      </c>
      <c r="EX217" s="410"/>
      <c r="EY217" s="410"/>
      <c r="EZ217" s="410"/>
      <c r="FA217" s="410"/>
      <c r="FB217" s="410"/>
      <c r="FC217" s="410"/>
      <c r="FD217" s="410"/>
      <c r="FE217" s="410" t="s">
        <v>165</v>
      </c>
      <c r="FF217" s="410"/>
      <c r="FG217" s="410"/>
      <c r="FH217" s="410"/>
      <c r="FI217" s="410"/>
      <c r="FJ217" s="410"/>
      <c r="FK217" s="410"/>
      <c r="FL217" s="410"/>
      <c r="FM217" s="410" t="s">
        <v>165</v>
      </c>
      <c r="FN217" s="410"/>
      <c r="FO217" s="410"/>
      <c r="FP217" s="410"/>
      <c r="FQ217" s="410"/>
      <c r="FR217" s="410"/>
      <c r="FS217" s="410"/>
      <c r="FT217" s="410"/>
      <c r="FU217" s="410" t="s">
        <v>165</v>
      </c>
      <c r="FV217" s="410"/>
      <c r="FW217" s="410"/>
      <c r="FX217" s="410"/>
      <c r="FY217" s="410"/>
      <c r="FZ217" s="410"/>
      <c r="GA217" s="410"/>
      <c r="GB217" s="410"/>
      <c r="GC217" s="410" t="s">
        <v>165</v>
      </c>
      <c r="GD217" s="410"/>
      <c r="GE217" s="410"/>
      <c r="GF217" s="410"/>
      <c r="GG217" s="410"/>
      <c r="GH217" s="410"/>
      <c r="GI217" s="410"/>
      <c r="GJ217" s="410"/>
      <c r="GK217" s="410" t="s">
        <v>165</v>
      </c>
      <c r="GL217" s="410"/>
      <c r="GM217" s="410"/>
      <c r="GN217" s="410"/>
      <c r="GO217" s="410"/>
      <c r="GP217" s="410"/>
      <c r="GQ217" s="410"/>
      <c r="GR217" s="410"/>
      <c r="GS217" s="410" t="s">
        <v>165</v>
      </c>
      <c r="GT217" s="410"/>
      <c r="GU217" s="410"/>
      <c r="GV217" s="410"/>
      <c r="GW217" s="410"/>
      <c r="GX217" s="410"/>
      <c r="GY217" s="410"/>
      <c r="GZ217" s="410"/>
      <c r="HA217" s="410" t="s">
        <v>165</v>
      </c>
      <c r="HB217" s="410"/>
      <c r="HC217" s="410"/>
      <c r="HD217" s="410"/>
      <c r="HE217" s="410"/>
      <c r="HF217" s="410"/>
      <c r="HG217" s="410"/>
      <c r="HH217" s="410"/>
      <c r="HI217" s="410" t="s">
        <v>165</v>
      </c>
      <c r="HJ217" s="410"/>
      <c r="HK217" s="410"/>
      <c r="HL217" s="410"/>
      <c r="HM217" s="410"/>
      <c r="HN217" s="410"/>
      <c r="HO217" s="410"/>
      <c r="HP217" s="410"/>
      <c r="HQ217" s="410" t="s">
        <v>165</v>
      </c>
      <c r="HR217" s="410"/>
      <c r="HS217" s="410"/>
      <c r="HT217" s="410"/>
      <c r="HU217" s="410"/>
      <c r="HV217" s="410"/>
      <c r="HW217" s="410"/>
      <c r="HX217" s="410"/>
      <c r="HY217" s="410" t="s">
        <v>165</v>
      </c>
      <c r="HZ217" s="410"/>
      <c r="IA217" s="410"/>
      <c r="IB217" s="410"/>
      <c r="IC217" s="410"/>
      <c r="ID217" s="410"/>
      <c r="IE217" s="410"/>
      <c r="IF217" s="410"/>
      <c r="IG217" s="410" t="s">
        <v>165</v>
      </c>
      <c r="IH217" s="410"/>
      <c r="II217" s="410"/>
      <c r="IJ217" s="410"/>
      <c r="IK217" s="410"/>
      <c r="IL217" s="410"/>
      <c r="IM217" s="410"/>
      <c r="IN217" s="410"/>
      <c r="IO217" s="410" t="s">
        <v>165</v>
      </c>
      <c r="IP217" s="410"/>
      <c r="IQ217" s="410"/>
      <c r="IR217" s="410"/>
      <c r="IS217" s="410"/>
      <c r="IT217" s="410"/>
      <c r="IU217" s="410"/>
      <c r="IV217" s="410"/>
    </row>
    <row r="218" spans="1:256" ht="13.5" customHeight="1">
      <c r="A218" s="432" t="s">
        <v>319</v>
      </c>
      <c r="B218" s="433"/>
      <c r="C218" s="356" t="s">
        <v>189</v>
      </c>
      <c r="D218" s="356"/>
      <c r="E218" s="351">
        <f>I181</f>
        <v>2428.09</v>
      </c>
      <c r="F218" s="352"/>
      <c r="G218" s="356">
        <f>ROUND((1/1350)*E218,2)</f>
        <v>1.8</v>
      </c>
      <c r="H218" s="468"/>
      <c r="I218" s="397"/>
      <c r="J218" s="455"/>
      <c r="K218" s="455"/>
      <c r="L218" s="456"/>
      <c r="M218" s="457"/>
      <c r="N218" s="457"/>
      <c r="O218" s="457"/>
      <c r="P218" s="457"/>
      <c r="Q218" s="417" t="s">
        <v>164</v>
      </c>
      <c r="R218" s="411"/>
      <c r="S218" s="411"/>
      <c r="T218" s="412" t="s">
        <v>160</v>
      </c>
      <c r="U218" s="413"/>
      <c r="V218" s="414"/>
      <c r="W218" s="414"/>
      <c r="X218" s="414"/>
      <c r="Y218" s="411" t="s">
        <v>164</v>
      </c>
      <c r="Z218" s="411"/>
      <c r="AA218" s="411"/>
      <c r="AB218" s="412" t="s">
        <v>160</v>
      </c>
      <c r="AC218" s="413"/>
      <c r="AD218" s="414"/>
      <c r="AE218" s="414"/>
      <c r="AF218" s="414"/>
      <c r="AG218" s="411" t="s">
        <v>164</v>
      </c>
      <c r="AH218" s="411"/>
      <c r="AI218" s="411"/>
      <c r="AJ218" s="412" t="s">
        <v>160</v>
      </c>
      <c r="AK218" s="413"/>
      <c r="AL218" s="414"/>
      <c r="AM218" s="414"/>
      <c r="AN218" s="414"/>
      <c r="AO218" s="411" t="s">
        <v>164</v>
      </c>
      <c r="AP218" s="411"/>
      <c r="AQ218" s="411"/>
      <c r="AR218" s="412" t="s">
        <v>160</v>
      </c>
      <c r="AS218" s="413"/>
      <c r="AT218" s="414"/>
      <c r="AU218" s="414"/>
      <c r="AV218" s="414"/>
      <c r="AW218" s="411" t="s">
        <v>164</v>
      </c>
      <c r="AX218" s="411"/>
      <c r="AY218" s="411"/>
      <c r="AZ218" s="412" t="s">
        <v>160</v>
      </c>
      <c r="BA218" s="413"/>
      <c r="BB218" s="414"/>
      <c r="BC218" s="414"/>
      <c r="BD218" s="414"/>
      <c r="BE218" s="411" t="s">
        <v>164</v>
      </c>
      <c r="BF218" s="411"/>
      <c r="BG218" s="411"/>
      <c r="BH218" s="412" t="s">
        <v>160</v>
      </c>
      <c r="BI218" s="413"/>
      <c r="BJ218" s="414"/>
      <c r="BK218" s="414"/>
      <c r="BL218" s="414"/>
      <c r="BM218" s="411" t="s">
        <v>164</v>
      </c>
      <c r="BN218" s="411"/>
      <c r="BO218" s="411"/>
      <c r="BP218" s="412" t="s">
        <v>160</v>
      </c>
      <c r="BQ218" s="413"/>
      <c r="BR218" s="414"/>
      <c r="BS218" s="414"/>
      <c r="BT218" s="414"/>
      <c r="BU218" s="411" t="s">
        <v>164</v>
      </c>
      <c r="BV218" s="411"/>
      <c r="BW218" s="411"/>
      <c r="BX218" s="412" t="s">
        <v>160</v>
      </c>
      <c r="BY218" s="413"/>
      <c r="BZ218" s="414"/>
      <c r="CA218" s="414"/>
      <c r="CB218" s="414"/>
      <c r="CC218" s="411" t="s">
        <v>164</v>
      </c>
      <c r="CD218" s="411"/>
      <c r="CE218" s="411"/>
      <c r="CF218" s="412" t="s">
        <v>160</v>
      </c>
      <c r="CG218" s="413"/>
      <c r="CH218" s="414"/>
      <c r="CI218" s="414"/>
      <c r="CJ218" s="414"/>
      <c r="CK218" s="411" t="s">
        <v>164</v>
      </c>
      <c r="CL218" s="411"/>
      <c r="CM218" s="411"/>
      <c r="CN218" s="412" t="s">
        <v>160</v>
      </c>
      <c r="CO218" s="413"/>
      <c r="CP218" s="414"/>
      <c r="CQ218" s="414"/>
      <c r="CR218" s="414"/>
      <c r="CS218" s="411" t="s">
        <v>164</v>
      </c>
      <c r="CT218" s="411"/>
      <c r="CU218" s="411"/>
      <c r="CV218" s="412" t="s">
        <v>160</v>
      </c>
      <c r="CW218" s="413"/>
      <c r="CX218" s="414"/>
      <c r="CY218" s="414"/>
      <c r="CZ218" s="414"/>
      <c r="DA218" s="411" t="s">
        <v>164</v>
      </c>
      <c r="DB218" s="411"/>
      <c r="DC218" s="411"/>
      <c r="DD218" s="412" t="s">
        <v>160</v>
      </c>
      <c r="DE218" s="413"/>
      <c r="DF218" s="414"/>
      <c r="DG218" s="414"/>
      <c r="DH218" s="414"/>
      <c r="DI218" s="411" t="s">
        <v>164</v>
      </c>
      <c r="DJ218" s="411"/>
      <c r="DK218" s="411"/>
      <c r="DL218" s="412" t="s">
        <v>160</v>
      </c>
      <c r="DM218" s="413"/>
      <c r="DN218" s="414"/>
      <c r="DO218" s="414"/>
      <c r="DP218" s="414"/>
      <c r="DQ218" s="411" t="s">
        <v>164</v>
      </c>
      <c r="DR218" s="411"/>
      <c r="DS218" s="411"/>
      <c r="DT218" s="412" t="s">
        <v>160</v>
      </c>
      <c r="DU218" s="413"/>
      <c r="DV218" s="414"/>
      <c r="DW218" s="414"/>
      <c r="DX218" s="414"/>
      <c r="DY218" s="411" t="s">
        <v>164</v>
      </c>
      <c r="DZ218" s="411"/>
      <c r="EA218" s="411"/>
      <c r="EB218" s="412" t="s">
        <v>160</v>
      </c>
      <c r="EC218" s="413"/>
      <c r="ED218" s="414"/>
      <c r="EE218" s="414"/>
      <c r="EF218" s="414"/>
      <c r="EG218" s="411" t="s">
        <v>164</v>
      </c>
      <c r="EH218" s="411"/>
      <c r="EI218" s="411"/>
      <c r="EJ218" s="412" t="s">
        <v>160</v>
      </c>
      <c r="EK218" s="413"/>
      <c r="EL218" s="414"/>
      <c r="EM218" s="414"/>
      <c r="EN218" s="414"/>
      <c r="EO218" s="411" t="s">
        <v>164</v>
      </c>
      <c r="EP218" s="411"/>
      <c r="EQ218" s="411"/>
      <c r="ER218" s="412" t="s">
        <v>160</v>
      </c>
      <c r="ES218" s="413"/>
      <c r="ET218" s="414"/>
      <c r="EU218" s="414"/>
      <c r="EV218" s="414"/>
      <c r="EW218" s="411" t="s">
        <v>164</v>
      </c>
      <c r="EX218" s="411"/>
      <c r="EY218" s="411"/>
      <c r="EZ218" s="412" t="s">
        <v>160</v>
      </c>
      <c r="FA218" s="413"/>
      <c r="FB218" s="414"/>
      <c r="FC218" s="414"/>
      <c r="FD218" s="414"/>
      <c r="FE218" s="411" t="s">
        <v>164</v>
      </c>
      <c r="FF218" s="411"/>
      <c r="FG218" s="411"/>
      <c r="FH218" s="412" t="s">
        <v>160</v>
      </c>
      <c r="FI218" s="413"/>
      <c r="FJ218" s="414"/>
      <c r="FK218" s="414"/>
      <c r="FL218" s="414"/>
      <c r="FM218" s="411" t="s">
        <v>164</v>
      </c>
      <c r="FN218" s="411"/>
      <c r="FO218" s="411"/>
      <c r="FP218" s="412" t="s">
        <v>160</v>
      </c>
      <c r="FQ218" s="413"/>
      <c r="FR218" s="414"/>
      <c r="FS218" s="414"/>
      <c r="FT218" s="414"/>
      <c r="FU218" s="411" t="s">
        <v>164</v>
      </c>
      <c r="FV218" s="411"/>
      <c r="FW218" s="411"/>
      <c r="FX218" s="412" t="s">
        <v>160</v>
      </c>
      <c r="FY218" s="413"/>
      <c r="FZ218" s="414"/>
      <c r="GA218" s="414"/>
      <c r="GB218" s="414"/>
      <c r="GC218" s="411" t="s">
        <v>164</v>
      </c>
      <c r="GD218" s="411"/>
      <c r="GE218" s="411"/>
      <c r="GF218" s="412" t="s">
        <v>160</v>
      </c>
      <c r="GG218" s="413"/>
      <c r="GH218" s="414"/>
      <c r="GI218" s="414"/>
      <c r="GJ218" s="414"/>
      <c r="GK218" s="411" t="s">
        <v>164</v>
      </c>
      <c r="GL218" s="411"/>
      <c r="GM218" s="411"/>
      <c r="GN218" s="412" t="s">
        <v>160</v>
      </c>
      <c r="GO218" s="413"/>
      <c r="GP218" s="414"/>
      <c r="GQ218" s="414"/>
      <c r="GR218" s="414"/>
      <c r="GS218" s="411" t="s">
        <v>164</v>
      </c>
      <c r="GT218" s="411"/>
      <c r="GU218" s="411"/>
      <c r="GV218" s="412" t="s">
        <v>160</v>
      </c>
      <c r="GW218" s="413"/>
      <c r="GX218" s="414"/>
      <c r="GY218" s="414"/>
      <c r="GZ218" s="414"/>
      <c r="HA218" s="411" t="s">
        <v>164</v>
      </c>
      <c r="HB218" s="411"/>
      <c r="HC218" s="411"/>
      <c r="HD218" s="412" t="s">
        <v>160</v>
      </c>
      <c r="HE218" s="413"/>
      <c r="HF218" s="414"/>
      <c r="HG218" s="414"/>
      <c r="HH218" s="414"/>
      <c r="HI218" s="411" t="s">
        <v>164</v>
      </c>
      <c r="HJ218" s="411"/>
      <c r="HK218" s="411"/>
      <c r="HL218" s="412" t="s">
        <v>160</v>
      </c>
      <c r="HM218" s="413"/>
      <c r="HN218" s="414"/>
      <c r="HO218" s="414"/>
      <c r="HP218" s="414"/>
      <c r="HQ218" s="411" t="s">
        <v>164</v>
      </c>
      <c r="HR218" s="411"/>
      <c r="HS218" s="411"/>
      <c r="HT218" s="412" t="s">
        <v>160</v>
      </c>
      <c r="HU218" s="413"/>
      <c r="HV218" s="414"/>
      <c r="HW218" s="414"/>
      <c r="HX218" s="414"/>
      <c r="HY218" s="411" t="s">
        <v>164</v>
      </c>
      <c r="HZ218" s="411"/>
      <c r="IA218" s="411"/>
      <c r="IB218" s="412" t="s">
        <v>160</v>
      </c>
      <c r="IC218" s="413"/>
      <c r="ID218" s="414"/>
      <c r="IE218" s="414"/>
      <c r="IF218" s="414"/>
      <c r="IG218" s="411" t="s">
        <v>164</v>
      </c>
      <c r="IH218" s="411"/>
      <c r="II218" s="411"/>
      <c r="IJ218" s="412" t="s">
        <v>160</v>
      </c>
      <c r="IK218" s="413"/>
      <c r="IL218" s="414"/>
      <c r="IM218" s="414"/>
      <c r="IN218" s="414"/>
      <c r="IO218" s="411" t="s">
        <v>164</v>
      </c>
      <c r="IP218" s="411"/>
      <c r="IQ218" s="411"/>
      <c r="IR218" s="412" t="s">
        <v>160</v>
      </c>
      <c r="IS218" s="413"/>
      <c r="IT218" s="414"/>
      <c r="IU218" s="414"/>
      <c r="IV218" s="414"/>
    </row>
    <row r="219" spans="1:256" ht="13.5" customHeight="1">
      <c r="A219" s="362" t="s">
        <v>134</v>
      </c>
      <c r="B219" s="363"/>
      <c r="C219" s="364"/>
      <c r="D219" s="364"/>
      <c r="E219" s="364"/>
      <c r="F219" s="365"/>
      <c r="G219" s="469">
        <f>SUM(G217+G218)</f>
        <v>1.8</v>
      </c>
      <c r="H219" s="470"/>
      <c r="I219" s="471"/>
      <c r="J219" s="455"/>
      <c r="K219" s="455"/>
      <c r="L219" s="456"/>
      <c r="M219" s="457"/>
      <c r="N219" s="457"/>
      <c r="O219" s="457"/>
      <c r="P219" s="457"/>
      <c r="Q219" s="416"/>
      <c r="R219" s="416"/>
      <c r="S219" s="417"/>
      <c r="T219" s="412"/>
      <c r="U219" s="413"/>
      <c r="V219" s="414"/>
      <c r="W219" s="414"/>
      <c r="X219" s="414"/>
      <c r="Y219" s="415"/>
      <c r="Z219" s="416"/>
      <c r="AA219" s="417"/>
      <c r="AB219" s="412"/>
      <c r="AC219" s="413"/>
      <c r="AD219" s="414"/>
      <c r="AE219" s="414"/>
      <c r="AF219" s="414"/>
      <c r="AG219" s="415"/>
      <c r="AH219" s="416"/>
      <c r="AI219" s="417"/>
      <c r="AJ219" s="412"/>
      <c r="AK219" s="413"/>
      <c r="AL219" s="414"/>
      <c r="AM219" s="414"/>
      <c r="AN219" s="414"/>
      <c r="AO219" s="415"/>
      <c r="AP219" s="416"/>
      <c r="AQ219" s="417"/>
      <c r="AR219" s="412"/>
      <c r="AS219" s="413"/>
      <c r="AT219" s="414"/>
      <c r="AU219" s="414"/>
      <c r="AV219" s="414"/>
      <c r="AW219" s="415"/>
      <c r="AX219" s="416"/>
      <c r="AY219" s="417"/>
      <c r="AZ219" s="412"/>
      <c r="BA219" s="413"/>
      <c r="BB219" s="414"/>
      <c r="BC219" s="414"/>
      <c r="BD219" s="414"/>
      <c r="BE219" s="415"/>
      <c r="BF219" s="416"/>
      <c r="BG219" s="417"/>
      <c r="BH219" s="412"/>
      <c r="BI219" s="413"/>
      <c r="BJ219" s="414"/>
      <c r="BK219" s="414"/>
      <c r="BL219" s="414"/>
      <c r="BM219" s="415"/>
      <c r="BN219" s="416"/>
      <c r="BO219" s="417"/>
      <c r="BP219" s="412"/>
      <c r="BQ219" s="413"/>
      <c r="BR219" s="414"/>
      <c r="BS219" s="414"/>
      <c r="BT219" s="414"/>
      <c r="BU219" s="415"/>
      <c r="BV219" s="416"/>
      <c r="BW219" s="417"/>
      <c r="BX219" s="412"/>
      <c r="BY219" s="413"/>
      <c r="BZ219" s="414"/>
      <c r="CA219" s="414"/>
      <c r="CB219" s="414"/>
      <c r="CC219" s="415"/>
      <c r="CD219" s="416"/>
      <c r="CE219" s="417"/>
      <c r="CF219" s="412"/>
      <c r="CG219" s="413"/>
      <c r="CH219" s="414"/>
      <c r="CI219" s="414"/>
      <c r="CJ219" s="414"/>
      <c r="CK219" s="415"/>
      <c r="CL219" s="416"/>
      <c r="CM219" s="417"/>
      <c r="CN219" s="412"/>
      <c r="CO219" s="413"/>
      <c r="CP219" s="414"/>
      <c r="CQ219" s="414"/>
      <c r="CR219" s="414"/>
      <c r="CS219" s="415"/>
      <c r="CT219" s="416"/>
      <c r="CU219" s="417"/>
      <c r="CV219" s="412"/>
      <c r="CW219" s="413"/>
      <c r="CX219" s="414"/>
      <c r="CY219" s="414"/>
      <c r="CZ219" s="414"/>
      <c r="DA219" s="415"/>
      <c r="DB219" s="416"/>
      <c r="DC219" s="417"/>
      <c r="DD219" s="412"/>
      <c r="DE219" s="413"/>
      <c r="DF219" s="414"/>
      <c r="DG219" s="414"/>
      <c r="DH219" s="414"/>
      <c r="DI219" s="415"/>
      <c r="DJ219" s="416"/>
      <c r="DK219" s="417"/>
      <c r="DL219" s="412"/>
      <c r="DM219" s="413"/>
      <c r="DN219" s="414"/>
      <c r="DO219" s="414"/>
      <c r="DP219" s="414"/>
      <c r="DQ219" s="415"/>
      <c r="DR219" s="416"/>
      <c r="DS219" s="417"/>
      <c r="DT219" s="412"/>
      <c r="DU219" s="413"/>
      <c r="DV219" s="414"/>
      <c r="DW219" s="414"/>
      <c r="DX219" s="414"/>
      <c r="DY219" s="415"/>
      <c r="DZ219" s="416"/>
      <c r="EA219" s="417"/>
      <c r="EB219" s="412"/>
      <c r="EC219" s="413"/>
      <c r="ED219" s="414"/>
      <c r="EE219" s="414"/>
      <c r="EF219" s="414"/>
      <c r="EG219" s="415"/>
      <c r="EH219" s="416"/>
      <c r="EI219" s="417"/>
      <c r="EJ219" s="412"/>
      <c r="EK219" s="413"/>
      <c r="EL219" s="414"/>
      <c r="EM219" s="414"/>
      <c r="EN219" s="414"/>
      <c r="EO219" s="415"/>
      <c r="EP219" s="416"/>
      <c r="EQ219" s="417"/>
      <c r="ER219" s="412"/>
      <c r="ES219" s="413"/>
      <c r="ET219" s="414"/>
      <c r="EU219" s="414"/>
      <c r="EV219" s="414"/>
      <c r="EW219" s="415"/>
      <c r="EX219" s="416"/>
      <c r="EY219" s="417"/>
      <c r="EZ219" s="412"/>
      <c r="FA219" s="413"/>
      <c r="FB219" s="414"/>
      <c r="FC219" s="414"/>
      <c r="FD219" s="414"/>
      <c r="FE219" s="415"/>
      <c r="FF219" s="416"/>
      <c r="FG219" s="417"/>
      <c r="FH219" s="412"/>
      <c r="FI219" s="413"/>
      <c r="FJ219" s="414"/>
      <c r="FK219" s="414"/>
      <c r="FL219" s="414"/>
      <c r="FM219" s="415"/>
      <c r="FN219" s="416"/>
      <c r="FO219" s="417"/>
      <c r="FP219" s="412"/>
      <c r="FQ219" s="413"/>
      <c r="FR219" s="414"/>
      <c r="FS219" s="414"/>
      <c r="FT219" s="414"/>
      <c r="FU219" s="415"/>
      <c r="FV219" s="416"/>
      <c r="FW219" s="417"/>
      <c r="FX219" s="412"/>
      <c r="FY219" s="413"/>
      <c r="FZ219" s="414"/>
      <c r="GA219" s="414"/>
      <c r="GB219" s="414"/>
      <c r="GC219" s="415"/>
      <c r="GD219" s="416"/>
      <c r="GE219" s="417"/>
      <c r="GF219" s="412"/>
      <c r="GG219" s="413"/>
      <c r="GH219" s="414"/>
      <c r="GI219" s="414"/>
      <c r="GJ219" s="414"/>
      <c r="GK219" s="415"/>
      <c r="GL219" s="416"/>
      <c r="GM219" s="417"/>
      <c r="GN219" s="412"/>
      <c r="GO219" s="413"/>
      <c r="GP219" s="414"/>
      <c r="GQ219" s="414"/>
      <c r="GR219" s="414"/>
      <c r="GS219" s="415"/>
      <c r="GT219" s="416"/>
      <c r="GU219" s="417"/>
      <c r="GV219" s="412"/>
      <c r="GW219" s="413"/>
      <c r="GX219" s="414"/>
      <c r="GY219" s="414"/>
      <c r="GZ219" s="414"/>
      <c r="HA219" s="415"/>
      <c r="HB219" s="416"/>
      <c r="HC219" s="417"/>
      <c r="HD219" s="412"/>
      <c r="HE219" s="413"/>
      <c r="HF219" s="414"/>
      <c r="HG219" s="414"/>
      <c r="HH219" s="414"/>
      <c r="HI219" s="415"/>
      <c r="HJ219" s="416"/>
      <c r="HK219" s="417"/>
      <c r="HL219" s="412"/>
      <c r="HM219" s="413"/>
      <c r="HN219" s="414"/>
      <c r="HO219" s="414"/>
      <c r="HP219" s="414"/>
      <c r="HQ219" s="415"/>
      <c r="HR219" s="416"/>
      <c r="HS219" s="417"/>
      <c r="HT219" s="412"/>
      <c r="HU219" s="413"/>
      <c r="HV219" s="414"/>
      <c r="HW219" s="414"/>
      <c r="HX219" s="414"/>
      <c r="HY219" s="415"/>
      <c r="HZ219" s="416"/>
      <c r="IA219" s="417"/>
      <c r="IB219" s="412"/>
      <c r="IC219" s="413"/>
      <c r="ID219" s="414"/>
      <c r="IE219" s="414"/>
      <c r="IF219" s="414"/>
      <c r="IG219" s="415"/>
      <c r="IH219" s="416"/>
      <c r="II219" s="417"/>
      <c r="IJ219" s="412"/>
      <c r="IK219" s="413"/>
      <c r="IL219" s="414"/>
      <c r="IM219" s="414"/>
      <c r="IN219" s="414"/>
      <c r="IO219" s="415"/>
      <c r="IP219" s="416"/>
      <c r="IQ219" s="417"/>
      <c r="IR219" s="412"/>
      <c r="IS219" s="413"/>
      <c r="IT219" s="414"/>
      <c r="IU219" s="414"/>
      <c r="IV219" s="414"/>
    </row>
    <row r="220" spans="1:256" ht="6.75" customHeight="1">
      <c r="A220" s="589"/>
      <c r="B220" s="590"/>
      <c r="C220" s="407"/>
      <c r="D220" s="407"/>
      <c r="E220" s="407"/>
      <c r="F220" s="407"/>
      <c r="G220" s="407"/>
      <c r="H220" s="407"/>
      <c r="I220" s="467"/>
      <c r="J220" s="458"/>
      <c r="K220" s="458"/>
      <c r="L220" s="459"/>
      <c r="M220" s="457"/>
      <c r="N220" s="457"/>
      <c r="O220" s="457"/>
      <c r="P220" s="457"/>
      <c r="Q220" s="419" t="s">
        <v>159</v>
      </c>
      <c r="R220" s="419"/>
      <c r="S220" s="420"/>
      <c r="T220" s="421"/>
      <c r="U220" s="413"/>
      <c r="V220" s="414"/>
      <c r="W220" s="414"/>
      <c r="X220" s="414"/>
      <c r="Y220" s="418" t="s">
        <v>159</v>
      </c>
      <c r="Z220" s="419"/>
      <c r="AA220" s="420"/>
      <c r="AB220" s="421"/>
      <c r="AC220" s="413"/>
      <c r="AD220" s="414"/>
      <c r="AE220" s="414"/>
      <c r="AF220" s="414"/>
      <c r="AG220" s="418" t="s">
        <v>159</v>
      </c>
      <c r="AH220" s="419"/>
      <c r="AI220" s="420"/>
      <c r="AJ220" s="421"/>
      <c r="AK220" s="413"/>
      <c r="AL220" s="414"/>
      <c r="AM220" s="414"/>
      <c r="AN220" s="414"/>
      <c r="AO220" s="418" t="s">
        <v>159</v>
      </c>
      <c r="AP220" s="419"/>
      <c r="AQ220" s="420"/>
      <c r="AR220" s="421"/>
      <c r="AS220" s="413"/>
      <c r="AT220" s="414"/>
      <c r="AU220" s="414"/>
      <c r="AV220" s="414"/>
      <c r="AW220" s="418" t="s">
        <v>159</v>
      </c>
      <c r="AX220" s="419"/>
      <c r="AY220" s="420"/>
      <c r="AZ220" s="421"/>
      <c r="BA220" s="413"/>
      <c r="BB220" s="414"/>
      <c r="BC220" s="414"/>
      <c r="BD220" s="414"/>
      <c r="BE220" s="418" t="s">
        <v>159</v>
      </c>
      <c r="BF220" s="419"/>
      <c r="BG220" s="420"/>
      <c r="BH220" s="421"/>
      <c r="BI220" s="413"/>
      <c r="BJ220" s="414"/>
      <c r="BK220" s="414"/>
      <c r="BL220" s="414"/>
      <c r="BM220" s="418" t="s">
        <v>159</v>
      </c>
      <c r="BN220" s="419"/>
      <c r="BO220" s="420"/>
      <c r="BP220" s="421"/>
      <c r="BQ220" s="413"/>
      <c r="BR220" s="414"/>
      <c r="BS220" s="414"/>
      <c r="BT220" s="414"/>
      <c r="BU220" s="418" t="s">
        <v>159</v>
      </c>
      <c r="BV220" s="419"/>
      <c r="BW220" s="420"/>
      <c r="BX220" s="421"/>
      <c r="BY220" s="413"/>
      <c r="BZ220" s="414"/>
      <c r="CA220" s="414"/>
      <c r="CB220" s="414"/>
      <c r="CC220" s="418" t="s">
        <v>159</v>
      </c>
      <c r="CD220" s="419"/>
      <c r="CE220" s="420"/>
      <c r="CF220" s="421"/>
      <c r="CG220" s="413"/>
      <c r="CH220" s="414"/>
      <c r="CI220" s="414"/>
      <c r="CJ220" s="414"/>
      <c r="CK220" s="418" t="s">
        <v>159</v>
      </c>
      <c r="CL220" s="419"/>
      <c r="CM220" s="420"/>
      <c r="CN220" s="421"/>
      <c r="CO220" s="413"/>
      <c r="CP220" s="414"/>
      <c r="CQ220" s="414"/>
      <c r="CR220" s="414"/>
      <c r="CS220" s="418" t="s">
        <v>159</v>
      </c>
      <c r="CT220" s="419"/>
      <c r="CU220" s="420"/>
      <c r="CV220" s="421"/>
      <c r="CW220" s="413"/>
      <c r="CX220" s="414"/>
      <c r="CY220" s="414"/>
      <c r="CZ220" s="414"/>
      <c r="DA220" s="418" t="s">
        <v>159</v>
      </c>
      <c r="DB220" s="419"/>
      <c r="DC220" s="420"/>
      <c r="DD220" s="421"/>
      <c r="DE220" s="413"/>
      <c r="DF220" s="414"/>
      <c r="DG220" s="414"/>
      <c r="DH220" s="414"/>
      <c r="DI220" s="418" t="s">
        <v>159</v>
      </c>
      <c r="DJ220" s="419"/>
      <c r="DK220" s="420"/>
      <c r="DL220" s="421"/>
      <c r="DM220" s="413"/>
      <c r="DN220" s="414"/>
      <c r="DO220" s="414"/>
      <c r="DP220" s="414"/>
      <c r="DQ220" s="418" t="s">
        <v>159</v>
      </c>
      <c r="DR220" s="419"/>
      <c r="DS220" s="420"/>
      <c r="DT220" s="421"/>
      <c r="DU220" s="413"/>
      <c r="DV220" s="414"/>
      <c r="DW220" s="414"/>
      <c r="DX220" s="414"/>
      <c r="DY220" s="418" t="s">
        <v>159</v>
      </c>
      <c r="DZ220" s="419"/>
      <c r="EA220" s="420"/>
      <c r="EB220" s="421"/>
      <c r="EC220" s="413"/>
      <c r="ED220" s="414"/>
      <c r="EE220" s="414"/>
      <c r="EF220" s="414"/>
      <c r="EG220" s="418" t="s">
        <v>159</v>
      </c>
      <c r="EH220" s="419"/>
      <c r="EI220" s="420"/>
      <c r="EJ220" s="421"/>
      <c r="EK220" s="413"/>
      <c r="EL220" s="414"/>
      <c r="EM220" s="414"/>
      <c r="EN220" s="414"/>
      <c r="EO220" s="418" t="s">
        <v>159</v>
      </c>
      <c r="EP220" s="419"/>
      <c r="EQ220" s="420"/>
      <c r="ER220" s="421"/>
      <c r="ES220" s="413"/>
      <c r="ET220" s="414"/>
      <c r="EU220" s="414"/>
      <c r="EV220" s="414"/>
      <c r="EW220" s="418" t="s">
        <v>159</v>
      </c>
      <c r="EX220" s="419"/>
      <c r="EY220" s="420"/>
      <c r="EZ220" s="421"/>
      <c r="FA220" s="413"/>
      <c r="FB220" s="414"/>
      <c r="FC220" s="414"/>
      <c r="FD220" s="414"/>
      <c r="FE220" s="418" t="s">
        <v>159</v>
      </c>
      <c r="FF220" s="419"/>
      <c r="FG220" s="420"/>
      <c r="FH220" s="421"/>
      <c r="FI220" s="413"/>
      <c r="FJ220" s="414"/>
      <c r="FK220" s="414"/>
      <c r="FL220" s="414"/>
      <c r="FM220" s="418" t="s">
        <v>159</v>
      </c>
      <c r="FN220" s="419"/>
      <c r="FO220" s="420"/>
      <c r="FP220" s="421"/>
      <c r="FQ220" s="413"/>
      <c r="FR220" s="414"/>
      <c r="FS220" s="414"/>
      <c r="FT220" s="414"/>
      <c r="FU220" s="418" t="s">
        <v>159</v>
      </c>
      <c r="FV220" s="419"/>
      <c r="FW220" s="420"/>
      <c r="FX220" s="421"/>
      <c r="FY220" s="413"/>
      <c r="FZ220" s="414"/>
      <c r="GA220" s="414"/>
      <c r="GB220" s="414"/>
      <c r="GC220" s="418" t="s">
        <v>159</v>
      </c>
      <c r="GD220" s="419"/>
      <c r="GE220" s="420"/>
      <c r="GF220" s="421"/>
      <c r="GG220" s="413"/>
      <c r="GH220" s="414"/>
      <c r="GI220" s="414"/>
      <c r="GJ220" s="414"/>
      <c r="GK220" s="418" t="s">
        <v>159</v>
      </c>
      <c r="GL220" s="419"/>
      <c r="GM220" s="420"/>
      <c r="GN220" s="421"/>
      <c r="GO220" s="413"/>
      <c r="GP220" s="414"/>
      <c r="GQ220" s="414"/>
      <c r="GR220" s="414"/>
      <c r="GS220" s="418" t="s">
        <v>159</v>
      </c>
      <c r="GT220" s="419"/>
      <c r="GU220" s="420"/>
      <c r="GV220" s="421"/>
      <c r="GW220" s="413"/>
      <c r="GX220" s="414"/>
      <c r="GY220" s="414"/>
      <c r="GZ220" s="414"/>
      <c r="HA220" s="418" t="s">
        <v>159</v>
      </c>
      <c r="HB220" s="419"/>
      <c r="HC220" s="420"/>
      <c r="HD220" s="421"/>
      <c r="HE220" s="413"/>
      <c r="HF220" s="414"/>
      <c r="HG220" s="414"/>
      <c r="HH220" s="414"/>
      <c r="HI220" s="418" t="s">
        <v>159</v>
      </c>
      <c r="HJ220" s="419"/>
      <c r="HK220" s="420"/>
      <c r="HL220" s="421"/>
      <c r="HM220" s="413"/>
      <c r="HN220" s="414"/>
      <c r="HO220" s="414"/>
      <c r="HP220" s="414"/>
      <c r="HQ220" s="418" t="s">
        <v>159</v>
      </c>
      <c r="HR220" s="419"/>
      <c r="HS220" s="420"/>
      <c r="HT220" s="421"/>
      <c r="HU220" s="413"/>
      <c r="HV220" s="414"/>
      <c r="HW220" s="414"/>
      <c r="HX220" s="414"/>
      <c r="HY220" s="418" t="s">
        <v>159</v>
      </c>
      <c r="HZ220" s="419"/>
      <c r="IA220" s="420"/>
      <c r="IB220" s="421"/>
      <c r="IC220" s="413"/>
      <c r="ID220" s="414"/>
      <c r="IE220" s="414"/>
      <c r="IF220" s="414"/>
      <c r="IG220" s="418" t="s">
        <v>159</v>
      </c>
      <c r="IH220" s="419"/>
      <c r="II220" s="420"/>
      <c r="IJ220" s="421"/>
      <c r="IK220" s="413"/>
      <c r="IL220" s="414"/>
      <c r="IM220" s="414"/>
      <c r="IN220" s="414"/>
      <c r="IO220" s="418" t="s">
        <v>159</v>
      </c>
      <c r="IP220" s="419"/>
      <c r="IQ220" s="420"/>
      <c r="IR220" s="421"/>
      <c r="IS220" s="413"/>
      <c r="IT220" s="414"/>
      <c r="IU220" s="414"/>
      <c r="IV220" s="414"/>
    </row>
    <row r="221" spans="1:256" ht="12.75">
      <c r="A221" s="355" t="s">
        <v>247</v>
      </c>
      <c r="B221" s="355"/>
      <c r="C221" s="353" t="s">
        <v>190</v>
      </c>
      <c r="D221" s="353"/>
      <c r="E221" s="588">
        <v>0</v>
      </c>
      <c r="F221" s="588"/>
      <c r="G221" s="345">
        <v>0</v>
      </c>
      <c r="H221" s="346"/>
      <c r="I221" s="337"/>
      <c r="J221" s="455"/>
      <c r="K221" s="455"/>
      <c r="L221" s="459"/>
      <c r="M221" s="457"/>
      <c r="N221" s="457"/>
      <c r="O221" s="457"/>
      <c r="P221" s="457"/>
      <c r="Q221" s="417"/>
      <c r="R221" s="411"/>
      <c r="S221" s="411"/>
      <c r="T221" s="421"/>
      <c r="U221" s="413"/>
      <c r="V221" s="414"/>
      <c r="W221" s="414"/>
      <c r="X221" s="414"/>
      <c r="Y221" s="411"/>
      <c r="Z221" s="411"/>
      <c r="AA221" s="411"/>
      <c r="AB221" s="421"/>
      <c r="AC221" s="413"/>
      <c r="AD221" s="414"/>
      <c r="AE221" s="414"/>
      <c r="AF221" s="414"/>
      <c r="AG221" s="411"/>
      <c r="AH221" s="411"/>
      <c r="AI221" s="411"/>
      <c r="AJ221" s="421"/>
      <c r="AK221" s="413"/>
      <c r="AL221" s="414"/>
      <c r="AM221" s="414"/>
      <c r="AN221" s="414"/>
      <c r="AO221" s="411"/>
      <c r="AP221" s="411"/>
      <c r="AQ221" s="411"/>
      <c r="AR221" s="421"/>
      <c r="AS221" s="413"/>
      <c r="AT221" s="414"/>
      <c r="AU221" s="414"/>
      <c r="AV221" s="414"/>
      <c r="AW221" s="411"/>
      <c r="AX221" s="411"/>
      <c r="AY221" s="411"/>
      <c r="AZ221" s="421"/>
      <c r="BA221" s="413"/>
      <c r="BB221" s="414"/>
      <c r="BC221" s="414"/>
      <c r="BD221" s="414"/>
      <c r="BE221" s="411"/>
      <c r="BF221" s="411"/>
      <c r="BG221" s="411"/>
      <c r="BH221" s="421"/>
      <c r="BI221" s="413"/>
      <c r="BJ221" s="414"/>
      <c r="BK221" s="414"/>
      <c r="BL221" s="414"/>
      <c r="BM221" s="411"/>
      <c r="BN221" s="411"/>
      <c r="BO221" s="411"/>
      <c r="BP221" s="421"/>
      <c r="BQ221" s="413"/>
      <c r="BR221" s="414"/>
      <c r="BS221" s="414"/>
      <c r="BT221" s="414"/>
      <c r="BU221" s="411"/>
      <c r="BV221" s="411"/>
      <c r="BW221" s="411"/>
      <c r="BX221" s="421"/>
      <c r="BY221" s="413"/>
      <c r="BZ221" s="414"/>
      <c r="CA221" s="414"/>
      <c r="CB221" s="414"/>
      <c r="CC221" s="411"/>
      <c r="CD221" s="411"/>
      <c r="CE221" s="411"/>
      <c r="CF221" s="421"/>
      <c r="CG221" s="413"/>
      <c r="CH221" s="414"/>
      <c r="CI221" s="414"/>
      <c r="CJ221" s="414"/>
      <c r="CK221" s="411"/>
      <c r="CL221" s="411"/>
      <c r="CM221" s="411"/>
      <c r="CN221" s="421"/>
      <c r="CO221" s="413"/>
      <c r="CP221" s="414"/>
      <c r="CQ221" s="414"/>
      <c r="CR221" s="414"/>
      <c r="CS221" s="411"/>
      <c r="CT221" s="411"/>
      <c r="CU221" s="411"/>
      <c r="CV221" s="421"/>
      <c r="CW221" s="413"/>
      <c r="CX221" s="414"/>
      <c r="CY221" s="414"/>
      <c r="CZ221" s="414"/>
      <c r="DA221" s="411"/>
      <c r="DB221" s="411"/>
      <c r="DC221" s="411"/>
      <c r="DD221" s="421"/>
      <c r="DE221" s="413"/>
      <c r="DF221" s="414"/>
      <c r="DG221" s="414"/>
      <c r="DH221" s="414"/>
      <c r="DI221" s="411"/>
      <c r="DJ221" s="411"/>
      <c r="DK221" s="411"/>
      <c r="DL221" s="421"/>
      <c r="DM221" s="413"/>
      <c r="DN221" s="414"/>
      <c r="DO221" s="414"/>
      <c r="DP221" s="414"/>
      <c r="DQ221" s="411"/>
      <c r="DR221" s="411"/>
      <c r="DS221" s="411"/>
      <c r="DT221" s="421"/>
      <c r="DU221" s="413"/>
      <c r="DV221" s="414"/>
      <c r="DW221" s="414"/>
      <c r="DX221" s="414"/>
      <c r="DY221" s="411"/>
      <c r="DZ221" s="411"/>
      <c r="EA221" s="411"/>
      <c r="EB221" s="421"/>
      <c r="EC221" s="413"/>
      <c r="ED221" s="414"/>
      <c r="EE221" s="414"/>
      <c r="EF221" s="414"/>
      <c r="EG221" s="411"/>
      <c r="EH221" s="411"/>
      <c r="EI221" s="411"/>
      <c r="EJ221" s="421"/>
      <c r="EK221" s="413"/>
      <c r="EL221" s="414"/>
      <c r="EM221" s="414"/>
      <c r="EN221" s="414"/>
      <c r="EO221" s="411"/>
      <c r="EP221" s="411"/>
      <c r="EQ221" s="411"/>
      <c r="ER221" s="421"/>
      <c r="ES221" s="413"/>
      <c r="ET221" s="414"/>
      <c r="EU221" s="414"/>
      <c r="EV221" s="414"/>
      <c r="EW221" s="411"/>
      <c r="EX221" s="411"/>
      <c r="EY221" s="411"/>
      <c r="EZ221" s="421"/>
      <c r="FA221" s="413"/>
      <c r="FB221" s="414"/>
      <c r="FC221" s="414"/>
      <c r="FD221" s="414"/>
      <c r="FE221" s="411"/>
      <c r="FF221" s="411"/>
      <c r="FG221" s="411"/>
      <c r="FH221" s="421"/>
      <c r="FI221" s="413"/>
      <c r="FJ221" s="414"/>
      <c r="FK221" s="414"/>
      <c r="FL221" s="414"/>
      <c r="FM221" s="411"/>
      <c r="FN221" s="411"/>
      <c r="FO221" s="411"/>
      <c r="FP221" s="421"/>
      <c r="FQ221" s="413"/>
      <c r="FR221" s="414"/>
      <c r="FS221" s="414"/>
      <c r="FT221" s="414"/>
      <c r="FU221" s="411"/>
      <c r="FV221" s="411"/>
      <c r="FW221" s="411"/>
      <c r="FX221" s="421"/>
      <c r="FY221" s="413"/>
      <c r="FZ221" s="414"/>
      <c r="GA221" s="414"/>
      <c r="GB221" s="414"/>
      <c r="GC221" s="411"/>
      <c r="GD221" s="411"/>
      <c r="GE221" s="411"/>
      <c r="GF221" s="421"/>
      <c r="GG221" s="413"/>
      <c r="GH221" s="414"/>
      <c r="GI221" s="414"/>
      <c r="GJ221" s="414"/>
      <c r="GK221" s="411"/>
      <c r="GL221" s="411"/>
      <c r="GM221" s="411"/>
      <c r="GN221" s="421"/>
      <c r="GO221" s="413"/>
      <c r="GP221" s="414"/>
      <c r="GQ221" s="414"/>
      <c r="GR221" s="414"/>
      <c r="GS221" s="411"/>
      <c r="GT221" s="411"/>
      <c r="GU221" s="411"/>
      <c r="GV221" s="421"/>
      <c r="GW221" s="413"/>
      <c r="GX221" s="414"/>
      <c r="GY221" s="414"/>
      <c r="GZ221" s="414"/>
      <c r="HA221" s="411"/>
      <c r="HB221" s="411"/>
      <c r="HC221" s="411"/>
      <c r="HD221" s="421"/>
      <c r="HE221" s="413"/>
      <c r="HF221" s="414"/>
      <c r="HG221" s="414"/>
      <c r="HH221" s="414"/>
      <c r="HI221" s="411"/>
      <c r="HJ221" s="411"/>
      <c r="HK221" s="411"/>
      <c r="HL221" s="421"/>
      <c r="HM221" s="413"/>
      <c r="HN221" s="414"/>
      <c r="HO221" s="414"/>
      <c r="HP221" s="414"/>
      <c r="HQ221" s="411"/>
      <c r="HR221" s="411"/>
      <c r="HS221" s="411"/>
      <c r="HT221" s="421"/>
      <c r="HU221" s="413"/>
      <c r="HV221" s="414"/>
      <c r="HW221" s="414"/>
      <c r="HX221" s="414"/>
      <c r="HY221" s="411"/>
      <c r="HZ221" s="411"/>
      <c r="IA221" s="411"/>
      <c r="IB221" s="421"/>
      <c r="IC221" s="413"/>
      <c r="ID221" s="414"/>
      <c r="IE221" s="414"/>
      <c r="IF221" s="414"/>
      <c r="IG221" s="411"/>
      <c r="IH221" s="411"/>
      <c r="II221" s="411"/>
      <c r="IJ221" s="421"/>
      <c r="IK221" s="413"/>
      <c r="IL221" s="414"/>
      <c r="IM221" s="414"/>
      <c r="IN221" s="414"/>
      <c r="IO221" s="411"/>
      <c r="IP221" s="411"/>
      <c r="IQ221" s="411"/>
      <c r="IR221" s="421"/>
      <c r="IS221" s="413"/>
      <c r="IT221" s="414"/>
      <c r="IU221" s="414"/>
      <c r="IV221" s="414"/>
    </row>
    <row r="222" spans="1:256" ht="12.75">
      <c r="A222" s="368" t="s">
        <v>234</v>
      </c>
      <c r="B222" s="368"/>
      <c r="C222" s="356" t="s">
        <v>191</v>
      </c>
      <c r="D222" s="356"/>
      <c r="E222" s="342">
        <v>0</v>
      </c>
      <c r="F222" s="343"/>
      <c r="G222" s="345">
        <v>0</v>
      </c>
      <c r="H222" s="359"/>
      <c r="I222" s="337"/>
      <c r="J222" s="455"/>
      <c r="K222" s="455"/>
      <c r="L222" s="459"/>
      <c r="M222" s="457"/>
      <c r="N222" s="457"/>
      <c r="O222" s="457"/>
      <c r="P222" s="457"/>
      <c r="Q222" s="417"/>
      <c r="R222" s="411"/>
      <c r="S222" s="411"/>
      <c r="T222" s="421"/>
      <c r="U222" s="413"/>
      <c r="V222" s="414"/>
      <c r="W222" s="414"/>
      <c r="X222" s="414"/>
      <c r="Y222" s="411"/>
      <c r="Z222" s="411"/>
      <c r="AA222" s="411"/>
      <c r="AB222" s="421"/>
      <c r="AC222" s="413"/>
      <c r="AD222" s="414"/>
      <c r="AE222" s="414"/>
      <c r="AF222" s="414"/>
      <c r="AG222" s="411"/>
      <c r="AH222" s="411"/>
      <c r="AI222" s="411"/>
      <c r="AJ222" s="421"/>
      <c r="AK222" s="413"/>
      <c r="AL222" s="414"/>
      <c r="AM222" s="414"/>
      <c r="AN222" s="414"/>
      <c r="AO222" s="411"/>
      <c r="AP222" s="411"/>
      <c r="AQ222" s="411"/>
      <c r="AR222" s="421"/>
      <c r="AS222" s="413"/>
      <c r="AT222" s="414"/>
      <c r="AU222" s="414"/>
      <c r="AV222" s="414"/>
      <c r="AW222" s="411"/>
      <c r="AX222" s="411"/>
      <c r="AY222" s="411"/>
      <c r="AZ222" s="421"/>
      <c r="BA222" s="413"/>
      <c r="BB222" s="414"/>
      <c r="BC222" s="414"/>
      <c r="BD222" s="414"/>
      <c r="BE222" s="411"/>
      <c r="BF222" s="411"/>
      <c r="BG222" s="411"/>
      <c r="BH222" s="421"/>
      <c r="BI222" s="413"/>
      <c r="BJ222" s="414"/>
      <c r="BK222" s="414"/>
      <c r="BL222" s="414"/>
      <c r="BM222" s="411"/>
      <c r="BN222" s="411"/>
      <c r="BO222" s="411"/>
      <c r="BP222" s="421"/>
      <c r="BQ222" s="413"/>
      <c r="BR222" s="414"/>
      <c r="BS222" s="414"/>
      <c r="BT222" s="414"/>
      <c r="BU222" s="411"/>
      <c r="BV222" s="411"/>
      <c r="BW222" s="411"/>
      <c r="BX222" s="421"/>
      <c r="BY222" s="413"/>
      <c r="BZ222" s="414"/>
      <c r="CA222" s="414"/>
      <c r="CB222" s="414"/>
      <c r="CC222" s="411"/>
      <c r="CD222" s="411"/>
      <c r="CE222" s="411"/>
      <c r="CF222" s="421"/>
      <c r="CG222" s="413"/>
      <c r="CH222" s="414"/>
      <c r="CI222" s="414"/>
      <c r="CJ222" s="414"/>
      <c r="CK222" s="411"/>
      <c r="CL222" s="411"/>
      <c r="CM222" s="411"/>
      <c r="CN222" s="421"/>
      <c r="CO222" s="413"/>
      <c r="CP222" s="414"/>
      <c r="CQ222" s="414"/>
      <c r="CR222" s="414"/>
      <c r="CS222" s="411"/>
      <c r="CT222" s="411"/>
      <c r="CU222" s="411"/>
      <c r="CV222" s="421"/>
      <c r="CW222" s="413"/>
      <c r="CX222" s="414"/>
      <c r="CY222" s="414"/>
      <c r="CZ222" s="414"/>
      <c r="DA222" s="411"/>
      <c r="DB222" s="411"/>
      <c r="DC222" s="411"/>
      <c r="DD222" s="421"/>
      <c r="DE222" s="413"/>
      <c r="DF222" s="414"/>
      <c r="DG222" s="414"/>
      <c r="DH222" s="414"/>
      <c r="DI222" s="411"/>
      <c r="DJ222" s="411"/>
      <c r="DK222" s="411"/>
      <c r="DL222" s="421"/>
      <c r="DM222" s="413"/>
      <c r="DN222" s="414"/>
      <c r="DO222" s="414"/>
      <c r="DP222" s="414"/>
      <c r="DQ222" s="411"/>
      <c r="DR222" s="411"/>
      <c r="DS222" s="411"/>
      <c r="DT222" s="421"/>
      <c r="DU222" s="413"/>
      <c r="DV222" s="414"/>
      <c r="DW222" s="414"/>
      <c r="DX222" s="414"/>
      <c r="DY222" s="411"/>
      <c r="DZ222" s="411"/>
      <c r="EA222" s="411"/>
      <c r="EB222" s="421"/>
      <c r="EC222" s="413"/>
      <c r="ED222" s="414"/>
      <c r="EE222" s="414"/>
      <c r="EF222" s="414"/>
      <c r="EG222" s="411"/>
      <c r="EH222" s="411"/>
      <c r="EI222" s="411"/>
      <c r="EJ222" s="421"/>
      <c r="EK222" s="413"/>
      <c r="EL222" s="414"/>
      <c r="EM222" s="414"/>
      <c r="EN222" s="414"/>
      <c r="EO222" s="411"/>
      <c r="EP222" s="411"/>
      <c r="EQ222" s="411"/>
      <c r="ER222" s="421"/>
      <c r="ES222" s="413"/>
      <c r="ET222" s="414"/>
      <c r="EU222" s="414"/>
      <c r="EV222" s="414"/>
      <c r="EW222" s="411"/>
      <c r="EX222" s="411"/>
      <c r="EY222" s="411"/>
      <c r="EZ222" s="421"/>
      <c r="FA222" s="413"/>
      <c r="FB222" s="414"/>
      <c r="FC222" s="414"/>
      <c r="FD222" s="414"/>
      <c r="FE222" s="411"/>
      <c r="FF222" s="411"/>
      <c r="FG222" s="411"/>
      <c r="FH222" s="421"/>
      <c r="FI222" s="413"/>
      <c r="FJ222" s="414"/>
      <c r="FK222" s="414"/>
      <c r="FL222" s="414"/>
      <c r="FM222" s="411"/>
      <c r="FN222" s="411"/>
      <c r="FO222" s="411"/>
      <c r="FP222" s="421"/>
      <c r="FQ222" s="413"/>
      <c r="FR222" s="414"/>
      <c r="FS222" s="414"/>
      <c r="FT222" s="414"/>
      <c r="FU222" s="411"/>
      <c r="FV222" s="411"/>
      <c r="FW222" s="411"/>
      <c r="FX222" s="421"/>
      <c r="FY222" s="413"/>
      <c r="FZ222" s="414"/>
      <c r="GA222" s="414"/>
      <c r="GB222" s="414"/>
      <c r="GC222" s="411"/>
      <c r="GD222" s="411"/>
      <c r="GE222" s="411"/>
      <c r="GF222" s="421"/>
      <c r="GG222" s="413"/>
      <c r="GH222" s="414"/>
      <c r="GI222" s="414"/>
      <c r="GJ222" s="414"/>
      <c r="GK222" s="411"/>
      <c r="GL222" s="411"/>
      <c r="GM222" s="411"/>
      <c r="GN222" s="421"/>
      <c r="GO222" s="413"/>
      <c r="GP222" s="414"/>
      <c r="GQ222" s="414"/>
      <c r="GR222" s="414"/>
      <c r="GS222" s="411"/>
      <c r="GT222" s="411"/>
      <c r="GU222" s="411"/>
      <c r="GV222" s="421"/>
      <c r="GW222" s="413"/>
      <c r="GX222" s="414"/>
      <c r="GY222" s="414"/>
      <c r="GZ222" s="414"/>
      <c r="HA222" s="411"/>
      <c r="HB222" s="411"/>
      <c r="HC222" s="411"/>
      <c r="HD222" s="421"/>
      <c r="HE222" s="413"/>
      <c r="HF222" s="414"/>
      <c r="HG222" s="414"/>
      <c r="HH222" s="414"/>
      <c r="HI222" s="411"/>
      <c r="HJ222" s="411"/>
      <c r="HK222" s="411"/>
      <c r="HL222" s="421"/>
      <c r="HM222" s="413"/>
      <c r="HN222" s="414"/>
      <c r="HO222" s="414"/>
      <c r="HP222" s="414"/>
      <c r="HQ222" s="411"/>
      <c r="HR222" s="411"/>
      <c r="HS222" s="411"/>
      <c r="HT222" s="421"/>
      <c r="HU222" s="413"/>
      <c r="HV222" s="414"/>
      <c r="HW222" s="414"/>
      <c r="HX222" s="414"/>
      <c r="HY222" s="411"/>
      <c r="HZ222" s="411"/>
      <c r="IA222" s="411"/>
      <c r="IB222" s="421"/>
      <c r="IC222" s="413"/>
      <c r="ID222" s="414"/>
      <c r="IE222" s="414"/>
      <c r="IF222" s="414"/>
      <c r="IG222" s="411"/>
      <c r="IH222" s="411"/>
      <c r="II222" s="411"/>
      <c r="IJ222" s="421"/>
      <c r="IK222" s="413"/>
      <c r="IL222" s="414"/>
      <c r="IM222" s="414"/>
      <c r="IN222" s="414"/>
      <c r="IO222" s="411"/>
      <c r="IP222" s="411"/>
      <c r="IQ222" s="411"/>
      <c r="IR222" s="421"/>
      <c r="IS222" s="413"/>
      <c r="IT222" s="414"/>
      <c r="IU222" s="414"/>
      <c r="IV222" s="414"/>
    </row>
    <row r="223" spans="1:256" ht="12.75">
      <c r="A223" s="362" t="s">
        <v>134</v>
      </c>
      <c r="B223" s="363"/>
      <c r="C223" s="364"/>
      <c r="D223" s="364"/>
      <c r="E223" s="364"/>
      <c r="F223" s="365"/>
      <c r="G223" s="357">
        <f>SUM(G221+G222)</f>
        <v>0</v>
      </c>
      <c r="H223" s="358"/>
      <c r="I223" s="340"/>
      <c r="J223" s="455"/>
      <c r="K223" s="455"/>
      <c r="L223" s="459"/>
      <c r="M223" s="457"/>
      <c r="N223" s="457"/>
      <c r="O223" s="457"/>
      <c r="P223" s="457"/>
      <c r="Q223" s="417"/>
      <c r="R223" s="411"/>
      <c r="S223" s="411"/>
      <c r="T223" s="421"/>
      <c r="U223" s="413"/>
      <c r="V223" s="414"/>
      <c r="W223" s="414"/>
      <c r="X223" s="414"/>
      <c r="Y223" s="411"/>
      <c r="Z223" s="411"/>
      <c r="AA223" s="411"/>
      <c r="AB223" s="421"/>
      <c r="AC223" s="413"/>
      <c r="AD223" s="414"/>
      <c r="AE223" s="414"/>
      <c r="AF223" s="414"/>
      <c r="AG223" s="411"/>
      <c r="AH223" s="411"/>
      <c r="AI223" s="411"/>
      <c r="AJ223" s="421"/>
      <c r="AK223" s="413"/>
      <c r="AL223" s="414"/>
      <c r="AM223" s="414"/>
      <c r="AN223" s="414"/>
      <c r="AO223" s="411"/>
      <c r="AP223" s="411"/>
      <c r="AQ223" s="411"/>
      <c r="AR223" s="421"/>
      <c r="AS223" s="413"/>
      <c r="AT223" s="414"/>
      <c r="AU223" s="414"/>
      <c r="AV223" s="414"/>
      <c r="AW223" s="411"/>
      <c r="AX223" s="411"/>
      <c r="AY223" s="411"/>
      <c r="AZ223" s="421"/>
      <c r="BA223" s="413"/>
      <c r="BB223" s="414"/>
      <c r="BC223" s="414"/>
      <c r="BD223" s="414"/>
      <c r="BE223" s="411"/>
      <c r="BF223" s="411"/>
      <c r="BG223" s="411"/>
      <c r="BH223" s="421"/>
      <c r="BI223" s="413"/>
      <c r="BJ223" s="414"/>
      <c r="BK223" s="414"/>
      <c r="BL223" s="414"/>
      <c r="BM223" s="411"/>
      <c r="BN223" s="411"/>
      <c r="BO223" s="411"/>
      <c r="BP223" s="421"/>
      <c r="BQ223" s="413"/>
      <c r="BR223" s="414"/>
      <c r="BS223" s="414"/>
      <c r="BT223" s="414"/>
      <c r="BU223" s="411"/>
      <c r="BV223" s="411"/>
      <c r="BW223" s="411"/>
      <c r="BX223" s="421"/>
      <c r="BY223" s="413"/>
      <c r="BZ223" s="414"/>
      <c r="CA223" s="414"/>
      <c r="CB223" s="414"/>
      <c r="CC223" s="411"/>
      <c r="CD223" s="411"/>
      <c r="CE223" s="411"/>
      <c r="CF223" s="421"/>
      <c r="CG223" s="413"/>
      <c r="CH223" s="414"/>
      <c r="CI223" s="414"/>
      <c r="CJ223" s="414"/>
      <c r="CK223" s="411"/>
      <c r="CL223" s="411"/>
      <c r="CM223" s="411"/>
      <c r="CN223" s="421"/>
      <c r="CO223" s="413"/>
      <c r="CP223" s="414"/>
      <c r="CQ223" s="414"/>
      <c r="CR223" s="414"/>
      <c r="CS223" s="411"/>
      <c r="CT223" s="411"/>
      <c r="CU223" s="411"/>
      <c r="CV223" s="421"/>
      <c r="CW223" s="413"/>
      <c r="CX223" s="414"/>
      <c r="CY223" s="414"/>
      <c r="CZ223" s="414"/>
      <c r="DA223" s="411"/>
      <c r="DB223" s="411"/>
      <c r="DC223" s="411"/>
      <c r="DD223" s="421"/>
      <c r="DE223" s="413"/>
      <c r="DF223" s="414"/>
      <c r="DG223" s="414"/>
      <c r="DH223" s="414"/>
      <c r="DI223" s="411"/>
      <c r="DJ223" s="411"/>
      <c r="DK223" s="411"/>
      <c r="DL223" s="421"/>
      <c r="DM223" s="413"/>
      <c r="DN223" s="414"/>
      <c r="DO223" s="414"/>
      <c r="DP223" s="414"/>
      <c r="DQ223" s="411"/>
      <c r="DR223" s="411"/>
      <c r="DS223" s="411"/>
      <c r="DT223" s="421"/>
      <c r="DU223" s="413"/>
      <c r="DV223" s="414"/>
      <c r="DW223" s="414"/>
      <c r="DX223" s="414"/>
      <c r="DY223" s="411"/>
      <c r="DZ223" s="411"/>
      <c r="EA223" s="411"/>
      <c r="EB223" s="421"/>
      <c r="EC223" s="413"/>
      <c r="ED223" s="414"/>
      <c r="EE223" s="414"/>
      <c r="EF223" s="414"/>
      <c r="EG223" s="411"/>
      <c r="EH223" s="411"/>
      <c r="EI223" s="411"/>
      <c r="EJ223" s="421"/>
      <c r="EK223" s="413"/>
      <c r="EL223" s="414"/>
      <c r="EM223" s="414"/>
      <c r="EN223" s="414"/>
      <c r="EO223" s="411"/>
      <c r="EP223" s="411"/>
      <c r="EQ223" s="411"/>
      <c r="ER223" s="421"/>
      <c r="ES223" s="413"/>
      <c r="ET223" s="414"/>
      <c r="EU223" s="414"/>
      <c r="EV223" s="414"/>
      <c r="EW223" s="411"/>
      <c r="EX223" s="411"/>
      <c r="EY223" s="411"/>
      <c r="EZ223" s="421"/>
      <c r="FA223" s="413"/>
      <c r="FB223" s="414"/>
      <c r="FC223" s="414"/>
      <c r="FD223" s="414"/>
      <c r="FE223" s="411"/>
      <c r="FF223" s="411"/>
      <c r="FG223" s="411"/>
      <c r="FH223" s="421"/>
      <c r="FI223" s="413"/>
      <c r="FJ223" s="414"/>
      <c r="FK223" s="414"/>
      <c r="FL223" s="414"/>
      <c r="FM223" s="411"/>
      <c r="FN223" s="411"/>
      <c r="FO223" s="411"/>
      <c r="FP223" s="421"/>
      <c r="FQ223" s="413"/>
      <c r="FR223" s="414"/>
      <c r="FS223" s="414"/>
      <c r="FT223" s="414"/>
      <c r="FU223" s="411"/>
      <c r="FV223" s="411"/>
      <c r="FW223" s="411"/>
      <c r="FX223" s="421"/>
      <c r="FY223" s="413"/>
      <c r="FZ223" s="414"/>
      <c r="GA223" s="414"/>
      <c r="GB223" s="414"/>
      <c r="GC223" s="411"/>
      <c r="GD223" s="411"/>
      <c r="GE223" s="411"/>
      <c r="GF223" s="421"/>
      <c r="GG223" s="413"/>
      <c r="GH223" s="414"/>
      <c r="GI223" s="414"/>
      <c r="GJ223" s="414"/>
      <c r="GK223" s="411"/>
      <c r="GL223" s="411"/>
      <c r="GM223" s="411"/>
      <c r="GN223" s="421"/>
      <c r="GO223" s="413"/>
      <c r="GP223" s="414"/>
      <c r="GQ223" s="414"/>
      <c r="GR223" s="414"/>
      <c r="GS223" s="411"/>
      <c r="GT223" s="411"/>
      <c r="GU223" s="411"/>
      <c r="GV223" s="421"/>
      <c r="GW223" s="413"/>
      <c r="GX223" s="414"/>
      <c r="GY223" s="414"/>
      <c r="GZ223" s="414"/>
      <c r="HA223" s="411"/>
      <c r="HB223" s="411"/>
      <c r="HC223" s="411"/>
      <c r="HD223" s="421"/>
      <c r="HE223" s="413"/>
      <c r="HF223" s="414"/>
      <c r="HG223" s="414"/>
      <c r="HH223" s="414"/>
      <c r="HI223" s="411"/>
      <c r="HJ223" s="411"/>
      <c r="HK223" s="411"/>
      <c r="HL223" s="421"/>
      <c r="HM223" s="413"/>
      <c r="HN223" s="414"/>
      <c r="HO223" s="414"/>
      <c r="HP223" s="414"/>
      <c r="HQ223" s="411"/>
      <c r="HR223" s="411"/>
      <c r="HS223" s="411"/>
      <c r="HT223" s="421"/>
      <c r="HU223" s="413"/>
      <c r="HV223" s="414"/>
      <c r="HW223" s="414"/>
      <c r="HX223" s="414"/>
      <c r="HY223" s="411"/>
      <c r="HZ223" s="411"/>
      <c r="IA223" s="411"/>
      <c r="IB223" s="421"/>
      <c r="IC223" s="413"/>
      <c r="ID223" s="414"/>
      <c r="IE223" s="414"/>
      <c r="IF223" s="414"/>
      <c r="IG223" s="411"/>
      <c r="IH223" s="411"/>
      <c r="II223" s="411"/>
      <c r="IJ223" s="421"/>
      <c r="IK223" s="413"/>
      <c r="IL223" s="414"/>
      <c r="IM223" s="414"/>
      <c r="IN223" s="414"/>
      <c r="IO223" s="411"/>
      <c r="IP223" s="411"/>
      <c r="IQ223" s="411"/>
      <c r="IR223" s="421"/>
      <c r="IS223" s="413"/>
      <c r="IT223" s="414"/>
      <c r="IU223" s="414"/>
      <c r="IV223" s="414"/>
    </row>
    <row r="224" spans="1:256" ht="7.5" customHeight="1">
      <c r="A224" s="589"/>
      <c r="B224" s="590"/>
      <c r="C224" s="407"/>
      <c r="D224" s="407"/>
      <c r="E224" s="407"/>
      <c r="F224" s="407"/>
      <c r="G224" s="407"/>
      <c r="H224" s="407"/>
      <c r="I224" s="467"/>
      <c r="J224" s="455"/>
      <c r="K224" s="455"/>
      <c r="L224" s="459"/>
      <c r="M224" s="457"/>
      <c r="N224" s="457"/>
      <c r="O224" s="457"/>
      <c r="P224" s="457"/>
      <c r="Q224" s="417"/>
      <c r="R224" s="411"/>
      <c r="S224" s="411"/>
      <c r="T224" s="421"/>
      <c r="U224" s="413"/>
      <c r="V224" s="414"/>
      <c r="W224" s="414"/>
      <c r="X224" s="414"/>
      <c r="Y224" s="411"/>
      <c r="Z224" s="411"/>
      <c r="AA224" s="411"/>
      <c r="AB224" s="421"/>
      <c r="AC224" s="413"/>
      <c r="AD224" s="414"/>
      <c r="AE224" s="414"/>
      <c r="AF224" s="414"/>
      <c r="AG224" s="411"/>
      <c r="AH224" s="411"/>
      <c r="AI224" s="411"/>
      <c r="AJ224" s="421"/>
      <c r="AK224" s="413"/>
      <c r="AL224" s="414"/>
      <c r="AM224" s="414"/>
      <c r="AN224" s="414"/>
      <c r="AO224" s="411"/>
      <c r="AP224" s="411"/>
      <c r="AQ224" s="411"/>
      <c r="AR224" s="421"/>
      <c r="AS224" s="413"/>
      <c r="AT224" s="414"/>
      <c r="AU224" s="414"/>
      <c r="AV224" s="414"/>
      <c r="AW224" s="411"/>
      <c r="AX224" s="411"/>
      <c r="AY224" s="411"/>
      <c r="AZ224" s="421"/>
      <c r="BA224" s="413"/>
      <c r="BB224" s="414"/>
      <c r="BC224" s="414"/>
      <c r="BD224" s="414"/>
      <c r="BE224" s="411"/>
      <c r="BF224" s="411"/>
      <c r="BG224" s="411"/>
      <c r="BH224" s="421"/>
      <c r="BI224" s="413"/>
      <c r="BJ224" s="414"/>
      <c r="BK224" s="414"/>
      <c r="BL224" s="414"/>
      <c r="BM224" s="411"/>
      <c r="BN224" s="411"/>
      <c r="BO224" s="411"/>
      <c r="BP224" s="421"/>
      <c r="BQ224" s="413"/>
      <c r="BR224" s="414"/>
      <c r="BS224" s="414"/>
      <c r="BT224" s="414"/>
      <c r="BU224" s="411"/>
      <c r="BV224" s="411"/>
      <c r="BW224" s="411"/>
      <c r="BX224" s="421"/>
      <c r="BY224" s="413"/>
      <c r="BZ224" s="414"/>
      <c r="CA224" s="414"/>
      <c r="CB224" s="414"/>
      <c r="CC224" s="411"/>
      <c r="CD224" s="411"/>
      <c r="CE224" s="411"/>
      <c r="CF224" s="421"/>
      <c r="CG224" s="413"/>
      <c r="CH224" s="414"/>
      <c r="CI224" s="414"/>
      <c r="CJ224" s="414"/>
      <c r="CK224" s="411"/>
      <c r="CL224" s="411"/>
      <c r="CM224" s="411"/>
      <c r="CN224" s="421"/>
      <c r="CO224" s="413"/>
      <c r="CP224" s="414"/>
      <c r="CQ224" s="414"/>
      <c r="CR224" s="414"/>
      <c r="CS224" s="411"/>
      <c r="CT224" s="411"/>
      <c r="CU224" s="411"/>
      <c r="CV224" s="421"/>
      <c r="CW224" s="413"/>
      <c r="CX224" s="414"/>
      <c r="CY224" s="414"/>
      <c r="CZ224" s="414"/>
      <c r="DA224" s="411"/>
      <c r="DB224" s="411"/>
      <c r="DC224" s="411"/>
      <c r="DD224" s="421"/>
      <c r="DE224" s="413"/>
      <c r="DF224" s="414"/>
      <c r="DG224" s="414"/>
      <c r="DH224" s="414"/>
      <c r="DI224" s="411"/>
      <c r="DJ224" s="411"/>
      <c r="DK224" s="411"/>
      <c r="DL224" s="421"/>
      <c r="DM224" s="413"/>
      <c r="DN224" s="414"/>
      <c r="DO224" s="414"/>
      <c r="DP224" s="414"/>
      <c r="DQ224" s="411"/>
      <c r="DR224" s="411"/>
      <c r="DS224" s="411"/>
      <c r="DT224" s="421"/>
      <c r="DU224" s="413"/>
      <c r="DV224" s="414"/>
      <c r="DW224" s="414"/>
      <c r="DX224" s="414"/>
      <c r="DY224" s="411"/>
      <c r="DZ224" s="411"/>
      <c r="EA224" s="411"/>
      <c r="EB224" s="421"/>
      <c r="EC224" s="413"/>
      <c r="ED224" s="414"/>
      <c r="EE224" s="414"/>
      <c r="EF224" s="414"/>
      <c r="EG224" s="411"/>
      <c r="EH224" s="411"/>
      <c r="EI224" s="411"/>
      <c r="EJ224" s="421"/>
      <c r="EK224" s="413"/>
      <c r="EL224" s="414"/>
      <c r="EM224" s="414"/>
      <c r="EN224" s="414"/>
      <c r="EO224" s="411"/>
      <c r="EP224" s="411"/>
      <c r="EQ224" s="411"/>
      <c r="ER224" s="421"/>
      <c r="ES224" s="413"/>
      <c r="ET224" s="414"/>
      <c r="EU224" s="414"/>
      <c r="EV224" s="414"/>
      <c r="EW224" s="411"/>
      <c r="EX224" s="411"/>
      <c r="EY224" s="411"/>
      <c r="EZ224" s="421"/>
      <c r="FA224" s="413"/>
      <c r="FB224" s="414"/>
      <c r="FC224" s="414"/>
      <c r="FD224" s="414"/>
      <c r="FE224" s="411"/>
      <c r="FF224" s="411"/>
      <c r="FG224" s="411"/>
      <c r="FH224" s="421"/>
      <c r="FI224" s="413"/>
      <c r="FJ224" s="414"/>
      <c r="FK224" s="414"/>
      <c r="FL224" s="414"/>
      <c r="FM224" s="411"/>
      <c r="FN224" s="411"/>
      <c r="FO224" s="411"/>
      <c r="FP224" s="421"/>
      <c r="FQ224" s="413"/>
      <c r="FR224" s="414"/>
      <c r="FS224" s="414"/>
      <c r="FT224" s="414"/>
      <c r="FU224" s="411"/>
      <c r="FV224" s="411"/>
      <c r="FW224" s="411"/>
      <c r="FX224" s="421"/>
      <c r="FY224" s="413"/>
      <c r="FZ224" s="414"/>
      <c r="GA224" s="414"/>
      <c r="GB224" s="414"/>
      <c r="GC224" s="411"/>
      <c r="GD224" s="411"/>
      <c r="GE224" s="411"/>
      <c r="GF224" s="421"/>
      <c r="GG224" s="413"/>
      <c r="GH224" s="414"/>
      <c r="GI224" s="414"/>
      <c r="GJ224" s="414"/>
      <c r="GK224" s="411"/>
      <c r="GL224" s="411"/>
      <c r="GM224" s="411"/>
      <c r="GN224" s="421"/>
      <c r="GO224" s="413"/>
      <c r="GP224" s="414"/>
      <c r="GQ224" s="414"/>
      <c r="GR224" s="414"/>
      <c r="GS224" s="411"/>
      <c r="GT224" s="411"/>
      <c r="GU224" s="411"/>
      <c r="GV224" s="421"/>
      <c r="GW224" s="413"/>
      <c r="GX224" s="414"/>
      <c r="GY224" s="414"/>
      <c r="GZ224" s="414"/>
      <c r="HA224" s="411"/>
      <c r="HB224" s="411"/>
      <c r="HC224" s="411"/>
      <c r="HD224" s="421"/>
      <c r="HE224" s="413"/>
      <c r="HF224" s="414"/>
      <c r="HG224" s="414"/>
      <c r="HH224" s="414"/>
      <c r="HI224" s="411"/>
      <c r="HJ224" s="411"/>
      <c r="HK224" s="411"/>
      <c r="HL224" s="421"/>
      <c r="HM224" s="413"/>
      <c r="HN224" s="414"/>
      <c r="HO224" s="414"/>
      <c r="HP224" s="414"/>
      <c r="HQ224" s="411"/>
      <c r="HR224" s="411"/>
      <c r="HS224" s="411"/>
      <c r="HT224" s="421"/>
      <c r="HU224" s="413"/>
      <c r="HV224" s="414"/>
      <c r="HW224" s="414"/>
      <c r="HX224" s="414"/>
      <c r="HY224" s="411"/>
      <c r="HZ224" s="411"/>
      <c r="IA224" s="411"/>
      <c r="IB224" s="421"/>
      <c r="IC224" s="413"/>
      <c r="ID224" s="414"/>
      <c r="IE224" s="414"/>
      <c r="IF224" s="414"/>
      <c r="IG224" s="411"/>
      <c r="IH224" s="411"/>
      <c r="II224" s="411"/>
      <c r="IJ224" s="421"/>
      <c r="IK224" s="413"/>
      <c r="IL224" s="414"/>
      <c r="IM224" s="414"/>
      <c r="IN224" s="414"/>
      <c r="IO224" s="411"/>
      <c r="IP224" s="411"/>
      <c r="IQ224" s="411"/>
      <c r="IR224" s="421"/>
      <c r="IS224" s="413"/>
      <c r="IT224" s="414"/>
      <c r="IU224" s="414"/>
      <c r="IV224" s="414"/>
    </row>
    <row r="225" spans="1:256" ht="25.5" customHeight="1">
      <c r="A225" s="366" t="s">
        <v>248</v>
      </c>
      <c r="B225" s="367"/>
      <c r="C225" s="353" t="s">
        <v>192</v>
      </c>
      <c r="D225" s="353"/>
      <c r="E225" s="344">
        <v>0</v>
      </c>
      <c r="F225" s="344"/>
      <c r="G225" s="345">
        <v>0</v>
      </c>
      <c r="H225" s="346"/>
      <c r="I225" s="337"/>
      <c r="J225" s="458"/>
      <c r="K225" s="458"/>
      <c r="L225" s="459"/>
      <c r="M225" s="457"/>
      <c r="N225" s="457"/>
      <c r="O225" s="457"/>
      <c r="P225" s="457"/>
      <c r="Q225" s="419" t="s">
        <v>159</v>
      </c>
      <c r="R225" s="419"/>
      <c r="S225" s="420"/>
      <c r="T225" s="421"/>
      <c r="U225" s="413"/>
      <c r="V225" s="414"/>
      <c r="W225" s="414"/>
      <c r="X225" s="414"/>
      <c r="Y225" s="418" t="s">
        <v>159</v>
      </c>
      <c r="Z225" s="419"/>
      <c r="AA225" s="420"/>
      <c r="AB225" s="421"/>
      <c r="AC225" s="413"/>
      <c r="AD225" s="414"/>
      <c r="AE225" s="414"/>
      <c r="AF225" s="414"/>
      <c r="AG225" s="418" t="s">
        <v>159</v>
      </c>
      <c r="AH225" s="419"/>
      <c r="AI225" s="420"/>
      <c r="AJ225" s="421"/>
      <c r="AK225" s="413"/>
      <c r="AL225" s="414"/>
      <c r="AM225" s="414"/>
      <c r="AN225" s="414"/>
      <c r="AO225" s="418" t="s">
        <v>159</v>
      </c>
      <c r="AP225" s="419"/>
      <c r="AQ225" s="420"/>
      <c r="AR225" s="421"/>
      <c r="AS225" s="413"/>
      <c r="AT225" s="414"/>
      <c r="AU225" s="414"/>
      <c r="AV225" s="414"/>
      <c r="AW225" s="418" t="s">
        <v>159</v>
      </c>
      <c r="AX225" s="419"/>
      <c r="AY225" s="420"/>
      <c r="AZ225" s="421"/>
      <c r="BA225" s="413"/>
      <c r="BB225" s="414"/>
      <c r="BC225" s="414"/>
      <c r="BD225" s="414"/>
      <c r="BE225" s="418" t="s">
        <v>159</v>
      </c>
      <c r="BF225" s="419"/>
      <c r="BG225" s="420"/>
      <c r="BH225" s="421"/>
      <c r="BI225" s="413"/>
      <c r="BJ225" s="414"/>
      <c r="BK225" s="414"/>
      <c r="BL225" s="414"/>
      <c r="BM225" s="418" t="s">
        <v>159</v>
      </c>
      <c r="BN225" s="419"/>
      <c r="BO225" s="420"/>
      <c r="BP225" s="421"/>
      <c r="BQ225" s="413"/>
      <c r="BR225" s="414"/>
      <c r="BS225" s="414"/>
      <c r="BT225" s="414"/>
      <c r="BU225" s="418" t="s">
        <v>159</v>
      </c>
      <c r="BV225" s="419"/>
      <c r="BW225" s="420"/>
      <c r="BX225" s="421"/>
      <c r="BY225" s="413"/>
      <c r="BZ225" s="414"/>
      <c r="CA225" s="414"/>
      <c r="CB225" s="414"/>
      <c r="CC225" s="418" t="s">
        <v>159</v>
      </c>
      <c r="CD225" s="419"/>
      <c r="CE225" s="420"/>
      <c r="CF225" s="421"/>
      <c r="CG225" s="413"/>
      <c r="CH225" s="414"/>
      <c r="CI225" s="414"/>
      <c r="CJ225" s="414"/>
      <c r="CK225" s="418" t="s">
        <v>159</v>
      </c>
      <c r="CL225" s="419"/>
      <c r="CM225" s="420"/>
      <c r="CN225" s="421"/>
      <c r="CO225" s="413"/>
      <c r="CP225" s="414"/>
      <c r="CQ225" s="414"/>
      <c r="CR225" s="414"/>
      <c r="CS225" s="418" t="s">
        <v>159</v>
      </c>
      <c r="CT225" s="419"/>
      <c r="CU225" s="420"/>
      <c r="CV225" s="421"/>
      <c r="CW225" s="413"/>
      <c r="CX225" s="414"/>
      <c r="CY225" s="414"/>
      <c r="CZ225" s="414"/>
      <c r="DA225" s="418" t="s">
        <v>159</v>
      </c>
      <c r="DB225" s="419"/>
      <c r="DC225" s="420"/>
      <c r="DD225" s="421"/>
      <c r="DE225" s="413"/>
      <c r="DF225" s="414"/>
      <c r="DG225" s="414"/>
      <c r="DH225" s="414"/>
      <c r="DI225" s="418" t="s">
        <v>159</v>
      </c>
      <c r="DJ225" s="419"/>
      <c r="DK225" s="420"/>
      <c r="DL225" s="421"/>
      <c r="DM225" s="413"/>
      <c r="DN225" s="414"/>
      <c r="DO225" s="414"/>
      <c r="DP225" s="414"/>
      <c r="DQ225" s="418" t="s">
        <v>159</v>
      </c>
      <c r="DR225" s="419"/>
      <c r="DS225" s="420"/>
      <c r="DT225" s="421"/>
      <c r="DU225" s="413"/>
      <c r="DV225" s="414"/>
      <c r="DW225" s="414"/>
      <c r="DX225" s="414"/>
      <c r="DY225" s="418" t="s">
        <v>159</v>
      </c>
      <c r="DZ225" s="419"/>
      <c r="EA225" s="420"/>
      <c r="EB225" s="421"/>
      <c r="EC225" s="413"/>
      <c r="ED225" s="414"/>
      <c r="EE225" s="414"/>
      <c r="EF225" s="414"/>
      <c r="EG225" s="418" t="s">
        <v>159</v>
      </c>
      <c r="EH225" s="419"/>
      <c r="EI225" s="420"/>
      <c r="EJ225" s="421"/>
      <c r="EK225" s="413"/>
      <c r="EL225" s="414"/>
      <c r="EM225" s="414"/>
      <c r="EN225" s="414"/>
      <c r="EO225" s="418" t="s">
        <v>159</v>
      </c>
      <c r="EP225" s="419"/>
      <c r="EQ225" s="420"/>
      <c r="ER225" s="421"/>
      <c r="ES225" s="413"/>
      <c r="ET225" s="414"/>
      <c r="EU225" s="414"/>
      <c r="EV225" s="414"/>
      <c r="EW225" s="418" t="s">
        <v>159</v>
      </c>
      <c r="EX225" s="419"/>
      <c r="EY225" s="420"/>
      <c r="EZ225" s="421"/>
      <c r="FA225" s="413"/>
      <c r="FB225" s="414"/>
      <c r="FC225" s="414"/>
      <c r="FD225" s="414"/>
      <c r="FE225" s="418" t="s">
        <v>159</v>
      </c>
      <c r="FF225" s="419"/>
      <c r="FG225" s="420"/>
      <c r="FH225" s="421"/>
      <c r="FI225" s="413"/>
      <c r="FJ225" s="414"/>
      <c r="FK225" s="414"/>
      <c r="FL225" s="414"/>
      <c r="FM225" s="418" t="s">
        <v>159</v>
      </c>
      <c r="FN225" s="419"/>
      <c r="FO225" s="420"/>
      <c r="FP225" s="421"/>
      <c r="FQ225" s="413"/>
      <c r="FR225" s="414"/>
      <c r="FS225" s="414"/>
      <c r="FT225" s="414"/>
      <c r="FU225" s="418" t="s">
        <v>159</v>
      </c>
      <c r="FV225" s="419"/>
      <c r="FW225" s="420"/>
      <c r="FX225" s="421"/>
      <c r="FY225" s="413"/>
      <c r="FZ225" s="414"/>
      <c r="GA225" s="414"/>
      <c r="GB225" s="414"/>
      <c r="GC225" s="418" t="s">
        <v>159</v>
      </c>
      <c r="GD225" s="419"/>
      <c r="GE225" s="420"/>
      <c r="GF225" s="421"/>
      <c r="GG225" s="413"/>
      <c r="GH225" s="414"/>
      <c r="GI225" s="414"/>
      <c r="GJ225" s="414"/>
      <c r="GK225" s="418" t="s">
        <v>159</v>
      </c>
      <c r="GL225" s="419"/>
      <c r="GM225" s="420"/>
      <c r="GN225" s="421"/>
      <c r="GO225" s="413"/>
      <c r="GP225" s="414"/>
      <c r="GQ225" s="414"/>
      <c r="GR225" s="414"/>
      <c r="GS225" s="418" t="s">
        <v>159</v>
      </c>
      <c r="GT225" s="419"/>
      <c r="GU225" s="420"/>
      <c r="GV225" s="421"/>
      <c r="GW225" s="413"/>
      <c r="GX225" s="414"/>
      <c r="GY225" s="414"/>
      <c r="GZ225" s="414"/>
      <c r="HA225" s="418" t="s">
        <v>159</v>
      </c>
      <c r="HB225" s="419"/>
      <c r="HC225" s="420"/>
      <c r="HD225" s="421"/>
      <c r="HE225" s="413"/>
      <c r="HF225" s="414"/>
      <c r="HG225" s="414"/>
      <c r="HH225" s="414"/>
      <c r="HI225" s="418" t="s">
        <v>159</v>
      </c>
      <c r="HJ225" s="419"/>
      <c r="HK225" s="420"/>
      <c r="HL225" s="421"/>
      <c r="HM225" s="413"/>
      <c r="HN225" s="414"/>
      <c r="HO225" s="414"/>
      <c r="HP225" s="414"/>
      <c r="HQ225" s="418" t="s">
        <v>159</v>
      </c>
      <c r="HR225" s="419"/>
      <c r="HS225" s="420"/>
      <c r="HT225" s="421"/>
      <c r="HU225" s="413"/>
      <c r="HV225" s="414"/>
      <c r="HW225" s="414"/>
      <c r="HX225" s="414"/>
      <c r="HY225" s="418" t="s">
        <v>159</v>
      </c>
      <c r="HZ225" s="419"/>
      <c r="IA225" s="420"/>
      <c r="IB225" s="421"/>
      <c r="IC225" s="413"/>
      <c r="ID225" s="414"/>
      <c r="IE225" s="414"/>
      <c r="IF225" s="414"/>
      <c r="IG225" s="418" t="s">
        <v>159</v>
      </c>
      <c r="IH225" s="419"/>
      <c r="II225" s="420"/>
      <c r="IJ225" s="421"/>
      <c r="IK225" s="413"/>
      <c r="IL225" s="414"/>
      <c r="IM225" s="414"/>
      <c r="IN225" s="414"/>
      <c r="IO225" s="418" t="s">
        <v>159</v>
      </c>
      <c r="IP225" s="419"/>
      <c r="IQ225" s="420"/>
      <c r="IR225" s="421"/>
      <c r="IS225" s="413"/>
      <c r="IT225" s="414"/>
      <c r="IU225" s="414"/>
      <c r="IV225" s="414"/>
    </row>
    <row r="226" spans="1:256" ht="25.5" customHeight="1">
      <c r="A226" s="366" t="s">
        <v>235</v>
      </c>
      <c r="B226" s="367"/>
      <c r="C226" s="356" t="s">
        <v>193</v>
      </c>
      <c r="D226" s="356"/>
      <c r="E226" s="351">
        <f>I181</f>
        <v>2428.09</v>
      </c>
      <c r="F226" s="352"/>
      <c r="G226" s="345">
        <f>ROUND((1/800)*E226,2)</f>
        <v>3.04</v>
      </c>
      <c r="H226" s="359"/>
      <c r="I226" s="337"/>
      <c r="J226" s="455"/>
      <c r="K226" s="455"/>
      <c r="L226" s="459"/>
      <c r="M226" s="457"/>
      <c r="N226" s="457"/>
      <c r="O226" s="457"/>
      <c r="P226" s="457"/>
      <c r="Q226" s="417"/>
      <c r="R226" s="411"/>
      <c r="S226" s="411"/>
      <c r="T226" s="421"/>
      <c r="U226" s="413"/>
      <c r="V226" s="414"/>
      <c r="W226" s="414"/>
      <c r="X226" s="414"/>
      <c r="Y226" s="411"/>
      <c r="Z226" s="411"/>
      <c r="AA226" s="411"/>
      <c r="AB226" s="421"/>
      <c r="AC226" s="413"/>
      <c r="AD226" s="414"/>
      <c r="AE226" s="414"/>
      <c r="AF226" s="414"/>
      <c r="AG226" s="411"/>
      <c r="AH226" s="411"/>
      <c r="AI226" s="411"/>
      <c r="AJ226" s="421"/>
      <c r="AK226" s="413"/>
      <c r="AL226" s="414"/>
      <c r="AM226" s="414"/>
      <c r="AN226" s="414"/>
      <c r="AO226" s="411"/>
      <c r="AP226" s="411"/>
      <c r="AQ226" s="411"/>
      <c r="AR226" s="421"/>
      <c r="AS226" s="413"/>
      <c r="AT226" s="414"/>
      <c r="AU226" s="414"/>
      <c r="AV226" s="414"/>
      <c r="AW226" s="411"/>
      <c r="AX226" s="411"/>
      <c r="AY226" s="411"/>
      <c r="AZ226" s="421"/>
      <c r="BA226" s="413"/>
      <c r="BB226" s="414"/>
      <c r="BC226" s="414"/>
      <c r="BD226" s="414"/>
      <c r="BE226" s="411"/>
      <c r="BF226" s="411"/>
      <c r="BG226" s="411"/>
      <c r="BH226" s="421"/>
      <c r="BI226" s="413"/>
      <c r="BJ226" s="414"/>
      <c r="BK226" s="414"/>
      <c r="BL226" s="414"/>
      <c r="BM226" s="411"/>
      <c r="BN226" s="411"/>
      <c r="BO226" s="411"/>
      <c r="BP226" s="421"/>
      <c r="BQ226" s="413"/>
      <c r="BR226" s="414"/>
      <c r="BS226" s="414"/>
      <c r="BT226" s="414"/>
      <c r="BU226" s="411"/>
      <c r="BV226" s="411"/>
      <c r="BW226" s="411"/>
      <c r="BX226" s="421"/>
      <c r="BY226" s="413"/>
      <c r="BZ226" s="414"/>
      <c r="CA226" s="414"/>
      <c r="CB226" s="414"/>
      <c r="CC226" s="411"/>
      <c r="CD226" s="411"/>
      <c r="CE226" s="411"/>
      <c r="CF226" s="421"/>
      <c r="CG226" s="413"/>
      <c r="CH226" s="414"/>
      <c r="CI226" s="414"/>
      <c r="CJ226" s="414"/>
      <c r="CK226" s="411"/>
      <c r="CL226" s="411"/>
      <c r="CM226" s="411"/>
      <c r="CN226" s="421"/>
      <c r="CO226" s="413"/>
      <c r="CP226" s="414"/>
      <c r="CQ226" s="414"/>
      <c r="CR226" s="414"/>
      <c r="CS226" s="411"/>
      <c r="CT226" s="411"/>
      <c r="CU226" s="411"/>
      <c r="CV226" s="421"/>
      <c r="CW226" s="413"/>
      <c r="CX226" s="414"/>
      <c r="CY226" s="414"/>
      <c r="CZ226" s="414"/>
      <c r="DA226" s="411"/>
      <c r="DB226" s="411"/>
      <c r="DC226" s="411"/>
      <c r="DD226" s="421"/>
      <c r="DE226" s="413"/>
      <c r="DF226" s="414"/>
      <c r="DG226" s="414"/>
      <c r="DH226" s="414"/>
      <c r="DI226" s="411"/>
      <c r="DJ226" s="411"/>
      <c r="DK226" s="411"/>
      <c r="DL226" s="421"/>
      <c r="DM226" s="413"/>
      <c r="DN226" s="414"/>
      <c r="DO226" s="414"/>
      <c r="DP226" s="414"/>
      <c r="DQ226" s="411"/>
      <c r="DR226" s="411"/>
      <c r="DS226" s="411"/>
      <c r="DT226" s="421"/>
      <c r="DU226" s="413"/>
      <c r="DV226" s="414"/>
      <c r="DW226" s="414"/>
      <c r="DX226" s="414"/>
      <c r="DY226" s="411"/>
      <c r="DZ226" s="411"/>
      <c r="EA226" s="411"/>
      <c r="EB226" s="421"/>
      <c r="EC226" s="413"/>
      <c r="ED226" s="414"/>
      <c r="EE226" s="414"/>
      <c r="EF226" s="414"/>
      <c r="EG226" s="411"/>
      <c r="EH226" s="411"/>
      <c r="EI226" s="411"/>
      <c r="EJ226" s="421"/>
      <c r="EK226" s="413"/>
      <c r="EL226" s="414"/>
      <c r="EM226" s="414"/>
      <c r="EN226" s="414"/>
      <c r="EO226" s="411"/>
      <c r="EP226" s="411"/>
      <c r="EQ226" s="411"/>
      <c r="ER226" s="421"/>
      <c r="ES226" s="413"/>
      <c r="ET226" s="414"/>
      <c r="EU226" s="414"/>
      <c r="EV226" s="414"/>
      <c r="EW226" s="411"/>
      <c r="EX226" s="411"/>
      <c r="EY226" s="411"/>
      <c r="EZ226" s="421"/>
      <c r="FA226" s="413"/>
      <c r="FB226" s="414"/>
      <c r="FC226" s="414"/>
      <c r="FD226" s="414"/>
      <c r="FE226" s="411"/>
      <c r="FF226" s="411"/>
      <c r="FG226" s="411"/>
      <c r="FH226" s="421"/>
      <c r="FI226" s="413"/>
      <c r="FJ226" s="414"/>
      <c r="FK226" s="414"/>
      <c r="FL226" s="414"/>
      <c r="FM226" s="411"/>
      <c r="FN226" s="411"/>
      <c r="FO226" s="411"/>
      <c r="FP226" s="421"/>
      <c r="FQ226" s="413"/>
      <c r="FR226" s="414"/>
      <c r="FS226" s="414"/>
      <c r="FT226" s="414"/>
      <c r="FU226" s="411"/>
      <c r="FV226" s="411"/>
      <c r="FW226" s="411"/>
      <c r="FX226" s="421"/>
      <c r="FY226" s="413"/>
      <c r="FZ226" s="414"/>
      <c r="GA226" s="414"/>
      <c r="GB226" s="414"/>
      <c r="GC226" s="411"/>
      <c r="GD226" s="411"/>
      <c r="GE226" s="411"/>
      <c r="GF226" s="421"/>
      <c r="GG226" s="413"/>
      <c r="GH226" s="414"/>
      <c r="GI226" s="414"/>
      <c r="GJ226" s="414"/>
      <c r="GK226" s="411"/>
      <c r="GL226" s="411"/>
      <c r="GM226" s="411"/>
      <c r="GN226" s="421"/>
      <c r="GO226" s="413"/>
      <c r="GP226" s="414"/>
      <c r="GQ226" s="414"/>
      <c r="GR226" s="414"/>
      <c r="GS226" s="411"/>
      <c r="GT226" s="411"/>
      <c r="GU226" s="411"/>
      <c r="GV226" s="421"/>
      <c r="GW226" s="413"/>
      <c r="GX226" s="414"/>
      <c r="GY226" s="414"/>
      <c r="GZ226" s="414"/>
      <c r="HA226" s="411"/>
      <c r="HB226" s="411"/>
      <c r="HC226" s="411"/>
      <c r="HD226" s="421"/>
      <c r="HE226" s="413"/>
      <c r="HF226" s="414"/>
      <c r="HG226" s="414"/>
      <c r="HH226" s="414"/>
      <c r="HI226" s="411"/>
      <c r="HJ226" s="411"/>
      <c r="HK226" s="411"/>
      <c r="HL226" s="421"/>
      <c r="HM226" s="413"/>
      <c r="HN226" s="414"/>
      <c r="HO226" s="414"/>
      <c r="HP226" s="414"/>
      <c r="HQ226" s="411"/>
      <c r="HR226" s="411"/>
      <c r="HS226" s="411"/>
      <c r="HT226" s="421"/>
      <c r="HU226" s="413"/>
      <c r="HV226" s="414"/>
      <c r="HW226" s="414"/>
      <c r="HX226" s="414"/>
      <c r="HY226" s="411"/>
      <c r="HZ226" s="411"/>
      <c r="IA226" s="411"/>
      <c r="IB226" s="421"/>
      <c r="IC226" s="413"/>
      <c r="ID226" s="414"/>
      <c r="IE226" s="414"/>
      <c r="IF226" s="414"/>
      <c r="IG226" s="411"/>
      <c r="IH226" s="411"/>
      <c r="II226" s="411"/>
      <c r="IJ226" s="421"/>
      <c r="IK226" s="413"/>
      <c r="IL226" s="414"/>
      <c r="IM226" s="414"/>
      <c r="IN226" s="414"/>
      <c r="IO226" s="411"/>
      <c r="IP226" s="411"/>
      <c r="IQ226" s="411"/>
      <c r="IR226" s="421"/>
      <c r="IS226" s="413"/>
      <c r="IT226" s="414"/>
      <c r="IU226" s="414"/>
      <c r="IV226" s="414"/>
    </row>
    <row r="227" spans="1:256" ht="14.25" customHeight="1">
      <c r="A227" s="347" t="s">
        <v>134</v>
      </c>
      <c r="B227" s="348"/>
      <c r="C227" s="349"/>
      <c r="D227" s="349"/>
      <c r="E227" s="349"/>
      <c r="F227" s="350"/>
      <c r="G227" s="401">
        <f>SUM(G225+G226)</f>
        <v>3.04</v>
      </c>
      <c r="H227" s="402"/>
      <c r="I227" s="403"/>
      <c r="J227" s="455"/>
      <c r="K227" s="455"/>
      <c r="L227" s="459"/>
      <c r="M227" s="457"/>
      <c r="N227" s="457"/>
      <c r="O227" s="457"/>
      <c r="P227" s="457"/>
      <c r="Q227" s="417"/>
      <c r="R227" s="411"/>
      <c r="S227" s="411"/>
      <c r="T227" s="421"/>
      <c r="U227" s="413"/>
      <c r="V227" s="414"/>
      <c r="W227" s="414"/>
      <c r="X227" s="414"/>
      <c r="Y227" s="411"/>
      <c r="Z227" s="411"/>
      <c r="AA227" s="411"/>
      <c r="AB227" s="421"/>
      <c r="AC227" s="413"/>
      <c r="AD227" s="414"/>
      <c r="AE227" s="414"/>
      <c r="AF227" s="414"/>
      <c r="AG227" s="411"/>
      <c r="AH227" s="411"/>
      <c r="AI227" s="411"/>
      <c r="AJ227" s="421"/>
      <c r="AK227" s="413"/>
      <c r="AL227" s="414"/>
      <c r="AM227" s="414"/>
      <c r="AN227" s="414"/>
      <c r="AO227" s="411"/>
      <c r="AP227" s="411"/>
      <c r="AQ227" s="411"/>
      <c r="AR227" s="421"/>
      <c r="AS227" s="413"/>
      <c r="AT227" s="414"/>
      <c r="AU227" s="414"/>
      <c r="AV227" s="414"/>
      <c r="AW227" s="411"/>
      <c r="AX227" s="411"/>
      <c r="AY227" s="411"/>
      <c r="AZ227" s="421"/>
      <c r="BA227" s="413"/>
      <c r="BB227" s="414"/>
      <c r="BC227" s="414"/>
      <c r="BD227" s="414"/>
      <c r="BE227" s="411"/>
      <c r="BF227" s="411"/>
      <c r="BG227" s="411"/>
      <c r="BH227" s="421"/>
      <c r="BI227" s="413"/>
      <c r="BJ227" s="414"/>
      <c r="BK227" s="414"/>
      <c r="BL227" s="414"/>
      <c r="BM227" s="411"/>
      <c r="BN227" s="411"/>
      <c r="BO227" s="411"/>
      <c r="BP227" s="421"/>
      <c r="BQ227" s="413"/>
      <c r="BR227" s="414"/>
      <c r="BS227" s="414"/>
      <c r="BT227" s="414"/>
      <c r="BU227" s="411"/>
      <c r="BV227" s="411"/>
      <c r="BW227" s="411"/>
      <c r="BX227" s="421"/>
      <c r="BY227" s="413"/>
      <c r="BZ227" s="414"/>
      <c r="CA227" s="414"/>
      <c r="CB227" s="414"/>
      <c r="CC227" s="411"/>
      <c r="CD227" s="411"/>
      <c r="CE227" s="411"/>
      <c r="CF227" s="421"/>
      <c r="CG227" s="413"/>
      <c r="CH227" s="414"/>
      <c r="CI227" s="414"/>
      <c r="CJ227" s="414"/>
      <c r="CK227" s="411"/>
      <c r="CL227" s="411"/>
      <c r="CM227" s="411"/>
      <c r="CN227" s="421"/>
      <c r="CO227" s="413"/>
      <c r="CP227" s="414"/>
      <c r="CQ227" s="414"/>
      <c r="CR227" s="414"/>
      <c r="CS227" s="411"/>
      <c r="CT227" s="411"/>
      <c r="CU227" s="411"/>
      <c r="CV227" s="421"/>
      <c r="CW227" s="413"/>
      <c r="CX227" s="414"/>
      <c r="CY227" s="414"/>
      <c r="CZ227" s="414"/>
      <c r="DA227" s="411"/>
      <c r="DB227" s="411"/>
      <c r="DC227" s="411"/>
      <c r="DD227" s="421"/>
      <c r="DE227" s="413"/>
      <c r="DF227" s="414"/>
      <c r="DG227" s="414"/>
      <c r="DH227" s="414"/>
      <c r="DI227" s="411"/>
      <c r="DJ227" s="411"/>
      <c r="DK227" s="411"/>
      <c r="DL227" s="421"/>
      <c r="DM227" s="413"/>
      <c r="DN227" s="414"/>
      <c r="DO227" s="414"/>
      <c r="DP227" s="414"/>
      <c r="DQ227" s="411"/>
      <c r="DR227" s="411"/>
      <c r="DS227" s="411"/>
      <c r="DT227" s="421"/>
      <c r="DU227" s="413"/>
      <c r="DV227" s="414"/>
      <c r="DW227" s="414"/>
      <c r="DX227" s="414"/>
      <c r="DY227" s="411"/>
      <c r="DZ227" s="411"/>
      <c r="EA227" s="411"/>
      <c r="EB227" s="421"/>
      <c r="EC227" s="413"/>
      <c r="ED227" s="414"/>
      <c r="EE227" s="414"/>
      <c r="EF227" s="414"/>
      <c r="EG227" s="411"/>
      <c r="EH227" s="411"/>
      <c r="EI227" s="411"/>
      <c r="EJ227" s="421"/>
      <c r="EK227" s="413"/>
      <c r="EL227" s="414"/>
      <c r="EM227" s="414"/>
      <c r="EN227" s="414"/>
      <c r="EO227" s="411"/>
      <c r="EP227" s="411"/>
      <c r="EQ227" s="411"/>
      <c r="ER227" s="421"/>
      <c r="ES227" s="413"/>
      <c r="ET227" s="414"/>
      <c r="EU227" s="414"/>
      <c r="EV227" s="414"/>
      <c r="EW227" s="411"/>
      <c r="EX227" s="411"/>
      <c r="EY227" s="411"/>
      <c r="EZ227" s="421"/>
      <c r="FA227" s="413"/>
      <c r="FB227" s="414"/>
      <c r="FC227" s="414"/>
      <c r="FD227" s="414"/>
      <c r="FE227" s="411"/>
      <c r="FF227" s="411"/>
      <c r="FG227" s="411"/>
      <c r="FH227" s="421"/>
      <c r="FI227" s="413"/>
      <c r="FJ227" s="414"/>
      <c r="FK227" s="414"/>
      <c r="FL227" s="414"/>
      <c r="FM227" s="411"/>
      <c r="FN227" s="411"/>
      <c r="FO227" s="411"/>
      <c r="FP227" s="421"/>
      <c r="FQ227" s="413"/>
      <c r="FR227" s="414"/>
      <c r="FS227" s="414"/>
      <c r="FT227" s="414"/>
      <c r="FU227" s="411"/>
      <c r="FV227" s="411"/>
      <c r="FW227" s="411"/>
      <c r="FX227" s="421"/>
      <c r="FY227" s="413"/>
      <c r="FZ227" s="414"/>
      <c r="GA227" s="414"/>
      <c r="GB227" s="414"/>
      <c r="GC227" s="411"/>
      <c r="GD227" s="411"/>
      <c r="GE227" s="411"/>
      <c r="GF227" s="421"/>
      <c r="GG227" s="413"/>
      <c r="GH227" s="414"/>
      <c r="GI227" s="414"/>
      <c r="GJ227" s="414"/>
      <c r="GK227" s="411"/>
      <c r="GL227" s="411"/>
      <c r="GM227" s="411"/>
      <c r="GN227" s="421"/>
      <c r="GO227" s="413"/>
      <c r="GP227" s="414"/>
      <c r="GQ227" s="414"/>
      <c r="GR227" s="414"/>
      <c r="GS227" s="411"/>
      <c r="GT227" s="411"/>
      <c r="GU227" s="411"/>
      <c r="GV227" s="421"/>
      <c r="GW227" s="413"/>
      <c r="GX227" s="414"/>
      <c r="GY227" s="414"/>
      <c r="GZ227" s="414"/>
      <c r="HA227" s="411"/>
      <c r="HB227" s="411"/>
      <c r="HC227" s="411"/>
      <c r="HD227" s="421"/>
      <c r="HE227" s="413"/>
      <c r="HF227" s="414"/>
      <c r="HG227" s="414"/>
      <c r="HH227" s="414"/>
      <c r="HI227" s="411"/>
      <c r="HJ227" s="411"/>
      <c r="HK227" s="411"/>
      <c r="HL227" s="421"/>
      <c r="HM227" s="413"/>
      <c r="HN227" s="414"/>
      <c r="HO227" s="414"/>
      <c r="HP227" s="414"/>
      <c r="HQ227" s="411"/>
      <c r="HR227" s="411"/>
      <c r="HS227" s="411"/>
      <c r="HT227" s="421"/>
      <c r="HU227" s="413"/>
      <c r="HV227" s="414"/>
      <c r="HW227" s="414"/>
      <c r="HX227" s="414"/>
      <c r="HY227" s="411"/>
      <c r="HZ227" s="411"/>
      <c r="IA227" s="411"/>
      <c r="IB227" s="421"/>
      <c r="IC227" s="413"/>
      <c r="ID227" s="414"/>
      <c r="IE227" s="414"/>
      <c r="IF227" s="414"/>
      <c r="IG227" s="411"/>
      <c r="IH227" s="411"/>
      <c r="II227" s="411"/>
      <c r="IJ227" s="421"/>
      <c r="IK227" s="413"/>
      <c r="IL227" s="414"/>
      <c r="IM227" s="414"/>
      <c r="IN227" s="414"/>
      <c r="IO227" s="411"/>
      <c r="IP227" s="411"/>
      <c r="IQ227" s="411"/>
      <c r="IR227" s="421"/>
      <c r="IS227" s="413"/>
      <c r="IT227" s="414"/>
      <c r="IU227" s="414"/>
      <c r="IV227" s="414"/>
    </row>
    <row r="228" spans="1:256" ht="9" customHeight="1">
      <c r="A228" s="593"/>
      <c r="B228" s="594"/>
      <c r="C228" s="407"/>
      <c r="D228" s="407"/>
      <c r="E228" s="407"/>
      <c r="F228" s="407"/>
      <c r="G228" s="407"/>
      <c r="H228" s="407"/>
      <c r="I228" s="467"/>
      <c r="J228" s="455"/>
      <c r="K228" s="455"/>
      <c r="L228" s="459"/>
      <c r="M228" s="457"/>
      <c r="N228" s="457"/>
      <c r="O228" s="457"/>
      <c r="P228" s="457"/>
      <c r="Q228" s="417"/>
      <c r="R228" s="411"/>
      <c r="S228" s="411"/>
      <c r="T228" s="421"/>
      <c r="U228" s="413"/>
      <c r="V228" s="414"/>
      <c r="W228" s="414"/>
      <c r="X228" s="414"/>
      <c r="Y228" s="411"/>
      <c r="Z228" s="411"/>
      <c r="AA228" s="411"/>
      <c r="AB228" s="421"/>
      <c r="AC228" s="413"/>
      <c r="AD228" s="414"/>
      <c r="AE228" s="414"/>
      <c r="AF228" s="414"/>
      <c r="AG228" s="411"/>
      <c r="AH228" s="411"/>
      <c r="AI228" s="411"/>
      <c r="AJ228" s="421"/>
      <c r="AK228" s="413"/>
      <c r="AL228" s="414"/>
      <c r="AM228" s="414"/>
      <c r="AN228" s="414"/>
      <c r="AO228" s="411"/>
      <c r="AP228" s="411"/>
      <c r="AQ228" s="411"/>
      <c r="AR228" s="421"/>
      <c r="AS228" s="413"/>
      <c r="AT228" s="414"/>
      <c r="AU228" s="414"/>
      <c r="AV228" s="414"/>
      <c r="AW228" s="411"/>
      <c r="AX228" s="411"/>
      <c r="AY228" s="411"/>
      <c r="AZ228" s="421"/>
      <c r="BA228" s="413"/>
      <c r="BB228" s="414"/>
      <c r="BC228" s="414"/>
      <c r="BD228" s="414"/>
      <c r="BE228" s="411"/>
      <c r="BF228" s="411"/>
      <c r="BG228" s="411"/>
      <c r="BH228" s="421"/>
      <c r="BI228" s="413"/>
      <c r="BJ228" s="414"/>
      <c r="BK228" s="414"/>
      <c r="BL228" s="414"/>
      <c r="BM228" s="411"/>
      <c r="BN228" s="411"/>
      <c r="BO228" s="411"/>
      <c r="BP228" s="421"/>
      <c r="BQ228" s="413"/>
      <c r="BR228" s="414"/>
      <c r="BS228" s="414"/>
      <c r="BT228" s="414"/>
      <c r="BU228" s="411"/>
      <c r="BV228" s="411"/>
      <c r="BW228" s="411"/>
      <c r="BX228" s="421"/>
      <c r="BY228" s="413"/>
      <c r="BZ228" s="414"/>
      <c r="CA228" s="414"/>
      <c r="CB228" s="414"/>
      <c r="CC228" s="411"/>
      <c r="CD228" s="411"/>
      <c r="CE228" s="411"/>
      <c r="CF228" s="421"/>
      <c r="CG228" s="413"/>
      <c r="CH228" s="414"/>
      <c r="CI228" s="414"/>
      <c r="CJ228" s="414"/>
      <c r="CK228" s="411"/>
      <c r="CL228" s="411"/>
      <c r="CM228" s="411"/>
      <c r="CN228" s="421"/>
      <c r="CO228" s="413"/>
      <c r="CP228" s="414"/>
      <c r="CQ228" s="414"/>
      <c r="CR228" s="414"/>
      <c r="CS228" s="411"/>
      <c r="CT228" s="411"/>
      <c r="CU228" s="411"/>
      <c r="CV228" s="421"/>
      <c r="CW228" s="413"/>
      <c r="CX228" s="414"/>
      <c r="CY228" s="414"/>
      <c r="CZ228" s="414"/>
      <c r="DA228" s="411"/>
      <c r="DB228" s="411"/>
      <c r="DC228" s="411"/>
      <c r="DD228" s="421"/>
      <c r="DE228" s="413"/>
      <c r="DF228" s="414"/>
      <c r="DG228" s="414"/>
      <c r="DH228" s="414"/>
      <c r="DI228" s="411"/>
      <c r="DJ228" s="411"/>
      <c r="DK228" s="411"/>
      <c r="DL228" s="421"/>
      <c r="DM228" s="413"/>
      <c r="DN228" s="414"/>
      <c r="DO228" s="414"/>
      <c r="DP228" s="414"/>
      <c r="DQ228" s="411"/>
      <c r="DR228" s="411"/>
      <c r="DS228" s="411"/>
      <c r="DT228" s="421"/>
      <c r="DU228" s="413"/>
      <c r="DV228" s="414"/>
      <c r="DW228" s="414"/>
      <c r="DX228" s="414"/>
      <c r="DY228" s="411"/>
      <c r="DZ228" s="411"/>
      <c r="EA228" s="411"/>
      <c r="EB228" s="421"/>
      <c r="EC228" s="413"/>
      <c r="ED228" s="414"/>
      <c r="EE228" s="414"/>
      <c r="EF228" s="414"/>
      <c r="EG228" s="411"/>
      <c r="EH228" s="411"/>
      <c r="EI228" s="411"/>
      <c r="EJ228" s="421"/>
      <c r="EK228" s="413"/>
      <c r="EL228" s="414"/>
      <c r="EM228" s="414"/>
      <c r="EN228" s="414"/>
      <c r="EO228" s="411"/>
      <c r="EP228" s="411"/>
      <c r="EQ228" s="411"/>
      <c r="ER228" s="421"/>
      <c r="ES228" s="413"/>
      <c r="ET228" s="414"/>
      <c r="EU228" s="414"/>
      <c r="EV228" s="414"/>
      <c r="EW228" s="411"/>
      <c r="EX228" s="411"/>
      <c r="EY228" s="411"/>
      <c r="EZ228" s="421"/>
      <c r="FA228" s="413"/>
      <c r="FB228" s="414"/>
      <c r="FC228" s="414"/>
      <c r="FD228" s="414"/>
      <c r="FE228" s="411"/>
      <c r="FF228" s="411"/>
      <c r="FG228" s="411"/>
      <c r="FH228" s="421"/>
      <c r="FI228" s="413"/>
      <c r="FJ228" s="414"/>
      <c r="FK228" s="414"/>
      <c r="FL228" s="414"/>
      <c r="FM228" s="411"/>
      <c r="FN228" s="411"/>
      <c r="FO228" s="411"/>
      <c r="FP228" s="421"/>
      <c r="FQ228" s="413"/>
      <c r="FR228" s="414"/>
      <c r="FS228" s="414"/>
      <c r="FT228" s="414"/>
      <c r="FU228" s="411"/>
      <c r="FV228" s="411"/>
      <c r="FW228" s="411"/>
      <c r="FX228" s="421"/>
      <c r="FY228" s="413"/>
      <c r="FZ228" s="414"/>
      <c r="GA228" s="414"/>
      <c r="GB228" s="414"/>
      <c r="GC228" s="411"/>
      <c r="GD228" s="411"/>
      <c r="GE228" s="411"/>
      <c r="GF228" s="421"/>
      <c r="GG228" s="413"/>
      <c r="GH228" s="414"/>
      <c r="GI228" s="414"/>
      <c r="GJ228" s="414"/>
      <c r="GK228" s="411"/>
      <c r="GL228" s="411"/>
      <c r="GM228" s="411"/>
      <c r="GN228" s="421"/>
      <c r="GO228" s="413"/>
      <c r="GP228" s="414"/>
      <c r="GQ228" s="414"/>
      <c r="GR228" s="414"/>
      <c r="GS228" s="411"/>
      <c r="GT228" s="411"/>
      <c r="GU228" s="411"/>
      <c r="GV228" s="421"/>
      <c r="GW228" s="413"/>
      <c r="GX228" s="414"/>
      <c r="GY228" s="414"/>
      <c r="GZ228" s="414"/>
      <c r="HA228" s="411"/>
      <c r="HB228" s="411"/>
      <c r="HC228" s="411"/>
      <c r="HD228" s="421"/>
      <c r="HE228" s="413"/>
      <c r="HF228" s="414"/>
      <c r="HG228" s="414"/>
      <c r="HH228" s="414"/>
      <c r="HI228" s="411"/>
      <c r="HJ228" s="411"/>
      <c r="HK228" s="411"/>
      <c r="HL228" s="421"/>
      <c r="HM228" s="413"/>
      <c r="HN228" s="414"/>
      <c r="HO228" s="414"/>
      <c r="HP228" s="414"/>
      <c r="HQ228" s="411"/>
      <c r="HR228" s="411"/>
      <c r="HS228" s="411"/>
      <c r="HT228" s="421"/>
      <c r="HU228" s="413"/>
      <c r="HV228" s="414"/>
      <c r="HW228" s="414"/>
      <c r="HX228" s="414"/>
      <c r="HY228" s="411"/>
      <c r="HZ228" s="411"/>
      <c r="IA228" s="411"/>
      <c r="IB228" s="421"/>
      <c r="IC228" s="413"/>
      <c r="ID228" s="414"/>
      <c r="IE228" s="414"/>
      <c r="IF228" s="414"/>
      <c r="IG228" s="411"/>
      <c r="IH228" s="411"/>
      <c r="II228" s="411"/>
      <c r="IJ228" s="421"/>
      <c r="IK228" s="413"/>
      <c r="IL228" s="414"/>
      <c r="IM228" s="414"/>
      <c r="IN228" s="414"/>
      <c r="IO228" s="411"/>
      <c r="IP228" s="411"/>
      <c r="IQ228" s="411"/>
      <c r="IR228" s="421"/>
      <c r="IS228" s="413"/>
      <c r="IT228" s="414"/>
      <c r="IU228" s="414"/>
      <c r="IV228" s="414"/>
    </row>
    <row r="229" spans="1:256" ht="44.25" customHeight="1">
      <c r="A229" s="434" t="s">
        <v>392</v>
      </c>
      <c r="B229" s="434"/>
      <c r="C229" s="434"/>
      <c r="D229" s="434"/>
      <c r="E229" s="434"/>
      <c r="F229" s="434"/>
      <c r="G229" s="434"/>
      <c r="H229" s="434"/>
      <c r="I229" s="435"/>
    </row>
    <row r="230" spans="1:256" ht="44.25" customHeight="1">
      <c r="A230" s="579" t="s">
        <v>257</v>
      </c>
      <c r="B230" s="580"/>
      <c r="C230" s="400" t="s">
        <v>151</v>
      </c>
      <c r="D230" s="400"/>
      <c r="E230" s="400" t="s">
        <v>152</v>
      </c>
      <c r="F230" s="400"/>
      <c r="G230" s="338" t="s">
        <v>150</v>
      </c>
      <c r="H230" s="339"/>
      <c r="I230" s="340"/>
    </row>
    <row r="231" spans="1:256" ht="39.75" customHeight="1">
      <c r="A231" s="360" t="s">
        <v>249</v>
      </c>
      <c r="B231" s="361"/>
      <c r="C231" s="377" t="s">
        <v>194</v>
      </c>
      <c r="D231" s="377"/>
      <c r="E231" s="341">
        <v>0</v>
      </c>
      <c r="F231" s="341"/>
      <c r="G231" s="341">
        <f>ROUND((1/1200)*E231,2)</f>
        <v>0</v>
      </c>
      <c r="H231" s="341"/>
      <c r="I231" s="397"/>
    </row>
    <row r="232" spans="1:256" ht="42" customHeight="1">
      <c r="A232" s="360" t="s">
        <v>236</v>
      </c>
      <c r="B232" s="361"/>
      <c r="C232" s="377" t="s">
        <v>191</v>
      </c>
      <c r="D232" s="377"/>
      <c r="E232" s="341">
        <f>I181</f>
        <v>2428.09</v>
      </c>
      <c r="F232" s="341"/>
      <c r="G232" s="341">
        <f>ROUND((1/1200)*E232,2)</f>
        <v>2.02</v>
      </c>
      <c r="H232" s="341"/>
      <c r="I232" s="397"/>
      <c r="J232" s="17"/>
    </row>
    <row r="233" spans="1:256" ht="16.5" customHeight="1">
      <c r="A233" s="370" t="s">
        <v>134</v>
      </c>
      <c r="B233" s="371"/>
      <c r="C233" s="372"/>
      <c r="D233" s="372"/>
      <c r="E233" s="372"/>
      <c r="F233" s="373"/>
      <c r="G233" s="469">
        <f>SUM(G231+G232)</f>
        <v>2.02</v>
      </c>
      <c r="H233" s="470"/>
      <c r="I233" s="471"/>
      <c r="J233" s="17"/>
    </row>
    <row r="234" spans="1:256" ht="8.25" customHeight="1">
      <c r="A234" s="378"/>
      <c r="B234" s="379"/>
      <c r="C234" s="380"/>
      <c r="D234" s="380"/>
      <c r="E234" s="380"/>
      <c r="F234" s="380"/>
      <c r="G234" s="380"/>
      <c r="H234" s="380"/>
      <c r="I234" s="337"/>
    </row>
    <row r="235" spans="1:256" ht="27.75" customHeight="1">
      <c r="A235" s="436" t="s">
        <v>250</v>
      </c>
      <c r="B235" s="437"/>
      <c r="C235" s="369" t="s">
        <v>195</v>
      </c>
      <c r="D235" s="369"/>
      <c r="E235" s="344">
        <v>0</v>
      </c>
      <c r="F235" s="344"/>
      <c r="G235" s="335">
        <f>ROUND((1/1200)*E235,2)</f>
        <v>0</v>
      </c>
      <c r="H235" s="336"/>
      <c r="I235" s="337"/>
    </row>
    <row r="236" spans="1:256" ht="27" customHeight="1">
      <c r="A236" s="360" t="s">
        <v>237</v>
      </c>
      <c r="B236" s="361"/>
      <c r="C236" s="381" t="s">
        <v>196</v>
      </c>
      <c r="D236" s="382"/>
      <c r="E236" s="341">
        <f>I181</f>
        <v>2428.09</v>
      </c>
      <c r="F236" s="341"/>
      <c r="G236" s="335">
        <f>ROUND((1/6000)*E236,2)</f>
        <v>0.4</v>
      </c>
      <c r="H236" s="336"/>
      <c r="I236" s="337"/>
    </row>
    <row r="237" spans="1:256" ht="16.5" customHeight="1">
      <c r="A237" s="370" t="s">
        <v>134</v>
      </c>
      <c r="B237" s="371"/>
      <c r="C237" s="372"/>
      <c r="D237" s="372"/>
      <c r="E237" s="372"/>
      <c r="F237" s="373"/>
      <c r="G237" s="357">
        <f>SUM(G235+G236)</f>
        <v>0.4</v>
      </c>
      <c r="H237" s="358"/>
      <c r="I237" s="340"/>
    </row>
    <row r="238" spans="1:256" ht="7.5" customHeight="1">
      <c r="A238" s="374"/>
      <c r="B238" s="375"/>
      <c r="C238" s="376"/>
      <c r="D238" s="376"/>
      <c r="E238" s="376"/>
      <c r="F238" s="376"/>
      <c r="G238" s="376"/>
      <c r="H238" s="376"/>
      <c r="I238" s="337"/>
    </row>
    <row r="239" spans="1:256" ht="34.5" customHeight="1">
      <c r="A239" s="404" t="s">
        <v>251</v>
      </c>
      <c r="B239" s="404"/>
      <c r="C239" s="369" t="s">
        <v>194</v>
      </c>
      <c r="D239" s="369"/>
      <c r="E239" s="344">
        <v>0</v>
      </c>
      <c r="F239" s="344"/>
      <c r="G239" s="341">
        <f>ROUND((1/1200)*E239,2)</f>
        <v>0</v>
      </c>
      <c r="H239" s="341"/>
      <c r="I239" s="397"/>
    </row>
    <row r="240" spans="1:256" ht="30" customHeight="1">
      <c r="A240" s="428" t="s">
        <v>238</v>
      </c>
      <c r="B240" s="428"/>
      <c r="C240" s="377" t="s">
        <v>191</v>
      </c>
      <c r="D240" s="377"/>
      <c r="E240" s="341">
        <f>I181</f>
        <v>2428.09</v>
      </c>
      <c r="F240" s="341"/>
      <c r="G240" s="341">
        <f>ROUND((1/1200)*E240,2)</f>
        <v>2.02</v>
      </c>
      <c r="H240" s="341"/>
      <c r="I240" s="397"/>
    </row>
    <row r="241" spans="1:9" ht="15.75" customHeight="1">
      <c r="A241" s="370" t="s">
        <v>134</v>
      </c>
      <c r="B241" s="371"/>
      <c r="C241" s="372"/>
      <c r="D241" s="372"/>
      <c r="E241" s="372"/>
      <c r="F241" s="373"/>
      <c r="G241" s="469">
        <f>SUM(G239+G240)</f>
        <v>2.02</v>
      </c>
      <c r="H241" s="470"/>
      <c r="I241" s="471"/>
    </row>
    <row r="242" spans="1:9" ht="6.75" customHeight="1">
      <c r="A242" s="374"/>
      <c r="B242" s="375"/>
      <c r="C242" s="376"/>
      <c r="D242" s="376"/>
      <c r="E242" s="376"/>
      <c r="F242" s="376"/>
      <c r="G242" s="376"/>
      <c r="H242" s="376"/>
      <c r="I242" s="337"/>
    </row>
    <row r="243" spans="1:9" ht="36" customHeight="1">
      <c r="A243" s="404" t="s">
        <v>213</v>
      </c>
      <c r="B243" s="404"/>
      <c r="C243" s="369" t="s">
        <v>194</v>
      </c>
      <c r="D243" s="369"/>
      <c r="E243" s="344">
        <v>0</v>
      </c>
      <c r="F243" s="344"/>
      <c r="G243" s="335">
        <f>ROUND((1/1200)*E243,2)</f>
        <v>0</v>
      </c>
      <c r="H243" s="336"/>
      <c r="I243" s="337"/>
    </row>
    <row r="244" spans="1:9" ht="36" customHeight="1">
      <c r="A244" s="428" t="s">
        <v>239</v>
      </c>
      <c r="B244" s="428"/>
      <c r="C244" s="377" t="s">
        <v>191</v>
      </c>
      <c r="D244" s="377"/>
      <c r="E244" s="341">
        <f>I181</f>
        <v>2428.09</v>
      </c>
      <c r="F244" s="341"/>
      <c r="G244" s="335">
        <f>ROUND((1/1200)*E244,2)</f>
        <v>2.02</v>
      </c>
      <c r="H244" s="336"/>
      <c r="I244" s="337"/>
    </row>
    <row r="245" spans="1:9" ht="13.5" customHeight="1">
      <c r="A245" s="370" t="s">
        <v>134</v>
      </c>
      <c r="B245" s="371"/>
      <c r="C245" s="372"/>
      <c r="D245" s="372"/>
      <c r="E245" s="372"/>
      <c r="F245" s="373"/>
      <c r="G245" s="357">
        <f>SUM(G243+G244)</f>
        <v>2.02</v>
      </c>
      <c r="H245" s="358"/>
      <c r="I245" s="340"/>
    </row>
    <row r="246" spans="1:9" ht="6.75" customHeight="1">
      <c r="A246" s="448"/>
      <c r="B246" s="449"/>
      <c r="C246" s="376"/>
      <c r="D246" s="376"/>
      <c r="E246" s="376"/>
      <c r="F246" s="376"/>
      <c r="G246" s="376"/>
      <c r="H246" s="376"/>
      <c r="I246" s="337"/>
    </row>
    <row r="247" spans="1:9" ht="30.75" customHeight="1">
      <c r="A247" s="404" t="s">
        <v>252</v>
      </c>
      <c r="B247" s="404"/>
      <c r="C247" s="369" t="s">
        <v>194</v>
      </c>
      <c r="D247" s="369"/>
      <c r="E247" s="344">
        <v>0</v>
      </c>
      <c r="F247" s="344"/>
      <c r="G247" s="335">
        <f>ROUND((1/1200)*E247,2)</f>
        <v>0</v>
      </c>
      <c r="H247" s="336"/>
      <c r="I247" s="337"/>
    </row>
    <row r="248" spans="1:9" ht="28.5" customHeight="1">
      <c r="A248" s="429" t="s">
        <v>240</v>
      </c>
      <c r="B248" s="429"/>
      <c r="C248" s="377" t="s">
        <v>191</v>
      </c>
      <c r="D248" s="377"/>
      <c r="E248" s="430">
        <f>I181</f>
        <v>2428.09</v>
      </c>
      <c r="F248" s="430"/>
      <c r="G248" s="335">
        <f>ROUND((1/1200)*E248,2)</f>
        <v>2.02</v>
      </c>
      <c r="H248" s="336"/>
      <c r="I248" s="337"/>
    </row>
    <row r="249" spans="1:9" ht="18" customHeight="1">
      <c r="A249" s="385" t="s">
        <v>134</v>
      </c>
      <c r="B249" s="386"/>
      <c r="C249" s="387"/>
      <c r="D249" s="387"/>
      <c r="E249" s="387"/>
      <c r="F249" s="396"/>
      <c r="G249" s="401">
        <f>SUM(G247+G248)</f>
        <v>2.02</v>
      </c>
      <c r="H249" s="402"/>
      <c r="I249" s="403"/>
    </row>
    <row r="250" spans="1:9" ht="12.75">
      <c r="A250" s="374"/>
      <c r="B250" s="375"/>
      <c r="C250" s="376"/>
      <c r="D250" s="376"/>
      <c r="E250" s="376"/>
      <c r="F250" s="376"/>
      <c r="G250" s="376"/>
      <c r="H250" s="376"/>
      <c r="I250" s="337"/>
    </row>
    <row r="251" spans="1:9" ht="39.75" customHeight="1">
      <c r="A251" s="404" t="s">
        <v>253</v>
      </c>
      <c r="B251" s="404"/>
      <c r="C251" s="369" t="s">
        <v>197</v>
      </c>
      <c r="D251" s="369"/>
      <c r="E251" s="344">
        <v>0</v>
      </c>
      <c r="F251" s="344"/>
      <c r="G251" s="335">
        <f>ROUND((1/1200)*E251,2)</f>
        <v>0</v>
      </c>
      <c r="H251" s="336"/>
      <c r="I251" s="337"/>
    </row>
    <row r="252" spans="1:9" ht="36.75" customHeight="1">
      <c r="A252" s="428" t="s">
        <v>241</v>
      </c>
      <c r="B252" s="428"/>
      <c r="C252" s="377" t="s">
        <v>198</v>
      </c>
      <c r="D252" s="377"/>
      <c r="E252" s="341">
        <f>I181</f>
        <v>2428.09</v>
      </c>
      <c r="F252" s="341"/>
      <c r="G252" s="335">
        <f>ROUND((1/100000)*E252,2)</f>
        <v>0.02</v>
      </c>
      <c r="H252" s="336"/>
      <c r="I252" s="337"/>
    </row>
    <row r="253" spans="1:9" ht="15.75" customHeight="1">
      <c r="A253" s="370" t="s">
        <v>134</v>
      </c>
      <c r="B253" s="371"/>
      <c r="C253" s="372"/>
      <c r="D253" s="372"/>
      <c r="E253" s="372"/>
      <c r="F253" s="373"/>
      <c r="G253" s="357">
        <f>SUM(G251+G252)</f>
        <v>0.02</v>
      </c>
      <c r="H253" s="358"/>
      <c r="I253" s="340"/>
    </row>
    <row r="254" spans="1:9" ht="12.75">
      <c r="A254" s="374"/>
      <c r="B254" s="375"/>
      <c r="C254" s="376"/>
      <c r="D254" s="376"/>
      <c r="E254" s="376"/>
      <c r="F254" s="376"/>
      <c r="G254" s="376"/>
      <c r="H254" s="376"/>
      <c r="I254" s="337"/>
    </row>
    <row r="255" spans="1:9" ht="12" customHeight="1">
      <c r="A255" s="422" t="s">
        <v>398</v>
      </c>
      <c r="B255" s="423"/>
      <c r="C255" s="423"/>
      <c r="D255" s="423"/>
      <c r="E255" s="423"/>
      <c r="F255" s="423"/>
      <c r="G255" s="423"/>
      <c r="H255" s="423"/>
      <c r="I255" s="424"/>
    </row>
    <row r="256" spans="1:9" ht="36.75" customHeight="1">
      <c r="A256" s="425"/>
      <c r="B256" s="426"/>
      <c r="C256" s="426"/>
      <c r="D256" s="426"/>
      <c r="E256" s="426"/>
      <c r="F256" s="426"/>
      <c r="G256" s="426"/>
      <c r="H256" s="426"/>
      <c r="I256" s="427"/>
    </row>
    <row r="257" spans="1:9" ht="69" customHeight="1">
      <c r="A257" s="36" t="s">
        <v>199</v>
      </c>
      <c r="B257" s="35" t="s">
        <v>200</v>
      </c>
      <c r="C257" s="35" t="s">
        <v>135</v>
      </c>
      <c r="D257" s="400" t="s">
        <v>147</v>
      </c>
      <c r="E257" s="400"/>
      <c r="F257" s="35" t="s">
        <v>399</v>
      </c>
      <c r="G257" s="35" t="s">
        <v>201</v>
      </c>
      <c r="H257" s="338" t="s">
        <v>332</v>
      </c>
      <c r="I257" s="399"/>
    </row>
    <row r="258" spans="1:9" ht="63" customHeight="1">
      <c r="A258" s="79" t="s">
        <v>254</v>
      </c>
      <c r="B258" s="27" t="s">
        <v>202</v>
      </c>
      <c r="C258" s="28" t="s">
        <v>309</v>
      </c>
      <c r="D258" s="405" t="s">
        <v>153</v>
      </c>
      <c r="E258" s="405"/>
      <c r="F258" s="29">
        <f>ROUND((1/(30*110))*16*(1/191.4),7)</f>
        <v>2.5299999999999998E-5</v>
      </c>
      <c r="G258" s="34">
        <v>0</v>
      </c>
      <c r="H258" s="335">
        <v>0</v>
      </c>
      <c r="I258" s="398"/>
    </row>
    <row r="259" spans="1:9" ht="51">
      <c r="A259" s="79" t="s">
        <v>242</v>
      </c>
      <c r="B259" s="27" t="s">
        <v>203</v>
      </c>
      <c r="C259" s="28" t="s">
        <v>309</v>
      </c>
      <c r="D259" s="405" t="s">
        <v>153</v>
      </c>
      <c r="E259" s="405"/>
      <c r="F259" s="29">
        <f>ROUND((1/110)*16*(1/191.4),7)</f>
        <v>7.6000000000000004E-4</v>
      </c>
      <c r="G259" s="34">
        <f>I181</f>
        <v>2428.09</v>
      </c>
      <c r="H259" s="335">
        <f>ROUND(F259*G259,2)</f>
        <v>1.85</v>
      </c>
      <c r="I259" s="398"/>
    </row>
    <row r="260" spans="1:9" ht="12.75">
      <c r="A260" s="370" t="s">
        <v>134</v>
      </c>
      <c r="B260" s="371"/>
      <c r="C260" s="372"/>
      <c r="D260" s="372"/>
      <c r="E260" s="372"/>
      <c r="F260" s="372"/>
      <c r="G260" s="337"/>
      <c r="H260" s="335">
        <f>SUM(H258+H259)</f>
        <v>1.85</v>
      </c>
      <c r="I260" s="398"/>
    </row>
    <row r="261" spans="1:9" ht="7.5" customHeight="1">
      <c r="A261" s="406"/>
      <c r="B261" s="407"/>
      <c r="C261" s="407"/>
      <c r="D261" s="407"/>
      <c r="E261" s="407"/>
      <c r="F261" s="407"/>
      <c r="G261" s="407"/>
      <c r="H261" s="407"/>
      <c r="I261" s="408"/>
    </row>
    <row r="262" spans="1:9" ht="51">
      <c r="A262" s="79" t="s">
        <v>255</v>
      </c>
      <c r="B262" s="74" t="s">
        <v>310</v>
      </c>
      <c r="C262" s="28" t="s">
        <v>309</v>
      </c>
      <c r="D262" s="405" t="s">
        <v>153</v>
      </c>
      <c r="E262" s="405"/>
      <c r="F262" s="29">
        <f>ROUND((1/(30*220))*16*(1/191.4),7)</f>
        <v>1.27E-5</v>
      </c>
      <c r="G262" s="34">
        <v>0</v>
      </c>
      <c r="H262" s="335">
        <v>0</v>
      </c>
      <c r="I262" s="398"/>
    </row>
    <row r="263" spans="1:9" ht="51">
      <c r="A263" s="79" t="s">
        <v>243</v>
      </c>
      <c r="B263" s="27" t="s">
        <v>205</v>
      </c>
      <c r="C263" s="28" t="s">
        <v>309</v>
      </c>
      <c r="D263" s="405" t="s">
        <v>153</v>
      </c>
      <c r="E263" s="405"/>
      <c r="F263" s="29">
        <f>ROUND((1/220)*16*(1/191.4),7)</f>
        <v>3.8000000000000002E-4</v>
      </c>
      <c r="G263" s="34">
        <f>I181</f>
        <v>2428.09</v>
      </c>
      <c r="H263" s="335">
        <f>ROUND(F263*G263,2)</f>
        <v>0.92</v>
      </c>
      <c r="I263" s="398"/>
    </row>
    <row r="264" spans="1:9" ht="12.75">
      <c r="A264" s="370" t="s">
        <v>134</v>
      </c>
      <c r="B264" s="371"/>
      <c r="C264" s="372"/>
      <c r="D264" s="372"/>
      <c r="E264" s="372"/>
      <c r="F264" s="372"/>
      <c r="G264" s="337"/>
      <c r="H264" s="335">
        <f>SUM(H262+H263)</f>
        <v>0.92</v>
      </c>
      <c r="I264" s="398"/>
    </row>
    <row r="265" spans="1:9" ht="6.75" customHeight="1">
      <c r="A265" s="406"/>
      <c r="B265" s="407"/>
      <c r="C265" s="407"/>
      <c r="D265" s="407"/>
      <c r="E265" s="407"/>
      <c r="F265" s="407"/>
      <c r="G265" s="407"/>
      <c r="H265" s="407"/>
      <c r="I265" s="408"/>
    </row>
    <row r="266" spans="1:9" ht="24" customHeight="1">
      <c r="A266" s="79" t="s">
        <v>256</v>
      </c>
      <c r="B266" s="27" t="s">
        <v>204</v>
      </c>
      <c r="C266" s="28" t="s">
        <v>309</v>
      </c>
      <c r="D266" s="405" t="s">
        <v>153</v>
      </c>
      <c r="E266" s="405"/>
      <c r="F266" s="29">
        <f>ROUND((1/(30*220))*16*(1/191.4),7)</f>
        <v>1.27E-5</v>
      </c>
      <c r="G266" s="34">
        <v>0</v>
      </c>
      <c r="H266" s="335">
        <v>0</v>
      </c>
      <c r="I266" s="398"/>
    </row>
    <row r="267" spans="1:9" ht="25.5">
      <c r="A267" s="79" t="s">
        <v>244</v>
      </c>
      <c r="B267" s="20" t="s">
        <v>205</v>
      </c>
      <c r="C267" s="21" t="s">
        <v>309</v>
      </c>
      <c r="D267" s="405" t="s">
        <v>153</v>
      </c>
      <c r="E267" s="405"/>
      <c r="F267" s="29">
        <f>ROUND((1/220)*16*(1/191.4),7)</f>
        <v>3.8000000000000002E-4</v>
      </c>
      <c r="G267" s="34">
        <f>I181</f>
        <v>2428.09</v>
      </c>
      <c r="H267" s="335">
        <f>ROUND(F267*G267,2)</f>
        <v>0.92</v>
      </c>
      <c r="I267" s="398"/>
    </row>
    <row r="268" spans="1:9" ht="12.75">
      <c r="A268" s="385" t="s">
        <v>134</v>
      </c>
      <c r="B268" s="386"/>
      <c r="C268" s="387"/>
      <c r="D268" s="387"/>
      <c r="E268" s="387"/>
      <c r="F268" s="387"/>
      <c r="G268" s="388"/>
      <c r="H268" s="409">
        <f>SUM(H266+H267)</f>
        <v>0.92</v>
      </c>
      <c r="I268" s="398"/>
    </row>
    <row r="269" spans="1:9" ht="12.75">
      <c r="A269" s="581"/>
      <c r="B269" s="407"/>
      <c r="C269" s="407"/>
      <c r="D269" s="407"/>
      <c r="E269" s="407"/>
      <c r="F269" s="407"/>
      <c r="G269" s="407"/>
      <c r="H269" s="407"/>
      <c r="I269" s="408"/>
    </row>
    <row r="270" spans="1:9" ht="25.5" customHeight="1">
      <c r="A270" s="383" t="s">
        <v>222</v>
      </c>
      <c r="B270" s="384"/>
      <c r="C270" s="384"/>
      <c r="D270" s="384"/>
      <c r="E270" s="384"/>
      <c r="F270" s="384"/>
      <c r="G270" s="384"/>
      <c r="H270" s="384"/>
      <c r="I270" s="384"/>
    </row>
    <row r="271" spans="1:9" ht="63.75">
      <c r="A271" s="37" t="s">
        <v>163</v>
      </c>
      <c r="B271" s="37" t="s">
        <v>217</v>
      </c>
      <c r="C271" s="37" t="s">
        <v>218</v>
      </c>
      <c r="D271" s="582" t="s">
        <v>219</v>
      </c>
      <c r="E271" s="582"/>
      <c r="F271" s="37" t="s">
        <v>400</v>
      </c>
      <c r="G271" s="37" t="s">
        <v>220</v>
      </c>
      <c r="H271" s="603" t="s">
        <v>221</v>
      </c>
      <c r="I271" s="399"/>
    </row>
    <row r="272" spans="1:9" ht="12.75">
      <c r="A272" s="31" t="s">
        <v>155</v>
      </c>
      <c r="B272" s="20" t="s">
        <v>313</v>
      </c>
      <c r="C272" s="21" t="s">
        <v>312</v>
      </c>
      <c r="D272" s="587" t="s">
        <v>316</v>
      </c>
      <c r="E272" s="587"/>
      <c r="F272" s="32">
        <f>ROUND((1/(4*110))*8*(1/1148.4),7)</f>
        <v>1.5800000000000001E-5</v>
      </c>
      <c r="G272" s="33">
        <v>0</v>
      </c>
      <c r="H272" s="389">
        <f>ROUND(F272*G272,2)</f>
        <v>0</v>
      </c>
      <c r="I272" s="390"/>
    </row>
    <row r="273" spans="1:9" ht="12.75">
      <c r="A273" s="31" t="s">
        <v>154</v>
      </c>
      <c r="B273" s="20" t="s">
        <v>203</v>
      </c>
      <c r="C273" s="21" t="s">
        <v>312</v>
      </c>
      <c r="D273" s="601" t="s">
        <v>316</v>
      </c>
      <c r="E273" s="602"/>
      <c r="F273" s="32">
        <f>ROUND((1/110)*8*(1/1148.4),7)</f>
        <v>6.3299999999999994E-5</v>
      </c>
      <c r="G273" s="33">
        <f>I181</f>
        <v>2428.09</v>
      </c>
      <c r="H273" s="389">
        <f>ROUND(F273*G273,2)</f>
        <v>0.15</v>
      </c>
      <c r="I273" s="390"/>
    </row>
    <row r="274" spans="1:9" ht="12.75">
      <c r="A274" s="492" t="s">
        <v>134</v>
      </c>
      <c r="B274" s="492"/>
      <c r="C274" s="604"/>
      <c r="D274" s="604"/>
      <c r="E274" s="604"/>
      <c r="F274" s="604"/>
      <c r="G274" s="649"/>
      <c r="H274" s="409">
        <f>SUM(H272+H273)</f>
        <v>0.15</v>
      </c>
      <c r="I274" s="398"/>
    </row>
    <row r="275" spans="1:9" ht="9" customHeight="1">
      <c r="A275" s="406"/>
      <c r="B275" s="407"/>
      <c r="C275" s="407"/>
      <c r="D275" s="407"/>
      <c r="E275" s="407"/>
      <c r="F275" s="407"/>
      <c r="G275" s="407"/>
      <c r="H275" s="407"/>
      <c r="I275" s="467"/>
    </row>
    <row r="276" spans="1:9">
      <c r="A276" s="438" t="s">
        <v>206</v>
      </c>
      <c r="B276" s="438"/>
      <c r="C276" s="438"/>
      <c r="D276" s="438"/>
      <c r="E276" s="438"/>
      <c r="F276" s="438"/>
      <c r="G276" s="438"/>
      <c r="H276" s="438"/>
      <c r="I276" s="474"/>
    </row>
    <row r="277" spans="1:9">
      <c r="A277" s="438"/>
      <c r="B277" s="438"/>
      <c r="C277" s="438"/>
      <c r="D277" s="438"/>
      <c r="E277" s="438"/>
      <c r="F277" s="438"/>
      <c r="G277" s="438"/>
      <c r="H277" s="438"/>
      <c r="I277" s="474"/>
    </row>
    <row r="278" spans="1:9" ht="12.75">
      <c r="A278" s="338" t="s">
        <v>163</v>
      </c>
      <c r="B278" s="447"/>
      <c r="C278" s="400" t="s">
        <v>148</v>
      </c>
      <c r="D278" s="338"/>
      <c r="E278" s="400" t="s">
        <v>149</v>
      </c>
      <c r="F278" s="400"/>
      <c r="G278" s="338" t="s">
        <v>150</v>
      </c>
      <c r="H278" s="339"/>
      <c r="I278" s="340"/>
    </row>
    <row r="279" spans="1:9" ht="12.75">
      <c r="A279" s="597" t="s">
        <v>155</v>
      </c>
      <c r="B279" s="598"/>
      <c r="C279" s="599" t="s">
        <v>207</v>
      </c>
      <c r="D279" s="600"/>
      <c r="E279" s="551">
        <v>0</v>
      </c>
      <c r="F279" s="552"/>
      <c r="G279" s="335">
        <v>0</v>
      </c>
      <c r="H279" s="586"/>
      <c r="I279" s="467"/>
    </row>
    <row r="280" spans="1:9" ht="12.75">
      <c r="A280" s="597" t="s">
        <v>154</v>
      </c>
      <c r="B280" s="598"/>
      <c r="C280" s="585" t="s">
        <v>187</v>
      </c>
      <c r="D280" s="586"/>
      <c r="E280" s="551">
        <v>0</v>
      </c>
      <c r="F280" s="552"/>
      <c r="G280" s="844">
        <v>0</v>
      </c>
      <c r="H280" s="600"/>
      <c r="I280" s="845"/>
    </row>
    <row r="281" spans="1:9" ht="12.75">
      <c r="A281" s="492" t="s">
        <v>134</v>
      </c>
      <c r="B281" s="492"/>
      <c r="C281" s="604"/>
      <c r="D281" s="604"/>
      <c r="E281" s="604"/>
      <c r="F281" s="604"/>
      <c r="G281" s="553">
        <f>SUM(G279+G280)</f>
        <v>0</v>
      </c>
      <c r="H281" s="554"/>
      <c r="I281" s="555"/>
    </row>
    <row r="282" spans="1:9" ht="9.75" customHeight="1">
      <c r="A282" s="556"/>
      <c r="B282" s="407"/>
      <c r="C282" s="407"/>
      <c r="D282" s="407"/>
      <c r="E282" s="407"/>
      <c r="F282" s="407"/>
      <c r="G282" s="407"/>
      <c r="H282" s="407"/>
      <c r="I282" s="467"/>
    </row>
    <row r="283" spans="1:9" ht="98.25" customHeight="1" thickBot="1">
      <c r="A283" s="557" t="s">
        <v>89</v>
      </c>
      <c r="B283" s="557"/>
      <c r="C283" s="557"/>
      <c r="D283" s="557"/>
      <c r="E283" s="557"/>
      <c r="F283" s="557"/>
      <c r="G283" s="557"/>
      <c r="H283" s="557"/>
      <c r="I283" s="557"/>
    </row>
    <row r="284" spans="1:9">
      <c r="A284" s="562" t="s">
        <v>111</v>
      </c>
      <c r="B284" s="563"/>
      <c r="C284" s="563"/>
      <c r="D284" s="563"/>
      <c r="E284" s="563"/>
      <c r="F284" s="563"/>
      <c r="G284" s="563"/>
      <c r="H284" s="563"/>
      <c r="I284" s="564"/>
    </row>
    <row r="285" spans="1:9" ht="12.75" thickBot="1">
      <c r="A285" s="565"/>
      <c r="B285" s="566"/>
      <c r="C285" s="566"/>
      <c r="D285" s="566"/>
      <c r="E285" s="566"/>
      <c r="F285" s="566"/>
      <c r="G285" s="566"/>
      <c r="H285" s="566"/>
      <c r="I285" s="567"/>
    </row>
    <row r="286" spans="1:9" ht="25.5">
      <c r="A286" s="560" t="s">
        <v>136</v>
      </c>
      <c r="B286" s="560"/>
      <c r="C286" s="560"/>
      <c r="D286" s="840" t="s">
        <v>137</v>
      </c>
      <c r="E286" s="840"/>
      <c r="F286" s="81" t="s">
        <v>208</v>
      </c>
      <c r="G286" s="841" t="s">
        <v>209</v>
      </c>
      <c r="H286" s="842"/>
      <c r="I286" s="843"/>
    </row>
    <row r="287" spans="1:9" ht="14.1" customHeight="1">
      <c r="A287" s="438" t="s">
        <v>167</v>
      </c>
      <c r="B287" s="438"/>
      <c r="C287" s="438"/>
      <c r="D287" s="558">
        <f>G207</f>
        <v>4.05</v>
      </c>
      <c r="E287" s="559"/>
      <c r="F287" s="100">
        <f t="shared" ref="F287:F293" si="0">H14</f>
        <v>2000</v>
      </c>
      <c r="G287" s="487">
        <f t="shared" ref="G287:G292" si="1">ROUND(D287*F287,2)</f>
        <v>8100</v>
      </c>
      <c r="H287" s="487"/>
      <c r="I287" s="488"/>
    </row>
    <row r="288" spans="1:9" ht="14.1" customHeight="1">
      <c r="A288" s="438" t="s">
        <v>168</v>
      </c>
      <c r="B288" s="438"/>
      <c r="C288" s="438"/>
      <c r="D288" s="558">
        <f>G211</f>
        <v>4.05</v>
      </c>
      <c r="E288" s="559"/>
      <c r="F288" s="100">
        <f t="shared" si="0"/>
        <v>4000</v>
      </c>
      <c r="G288" s="487">
        <f t="shared" si="1"/>
        <v>16200</v>
      </c>
      <c r="H288" s="487"/>
      <c r="I288" s="488"/>
    </row>
    <row r="289" spans="1:11" ht="14.1" customHeight="1">
      <c r="A289" s="438" t="s">
        <v>169</v>
      </c>
      <c r="B289" s="438"/>
      <c r="C289" s="438"/>
      <c r="D289" s="558">
        <v>0</v>
      </c>
      <c r="E289" s="559"/>
      <c r="F289" s="100">
        <f t="shared" si="0"/>
        <v>0</v>
      </c>
      <c r="G289" s="487">
        <f t="shared" si="1"/>
        <v>0</v>
      </c>
      <c r="H289" s="487"/>
      <c r="I289" s="488"/>
    </row>
    <row r="290" spans="1:11" ht="14.1" customHeight="1">
      <c r="A290" s="568" t="s">
        <v>170</v>
      </c>
      <c r="B290" s="569"/>
      <c r="C290" s="570"/>
      <c r="D290" s="558">
        <f>G219</f>
        <v>1.8</v>
      </c>
      <c r="E290" s="559"/>
      <c r="F290" s="100">
        <f t="shared" si="0"/>
        <v>400</v>
      </c>
      <c r="G290" s="487">
        <f t="shared" si="1"/>
        <v>720</v>
      </c>
      <c r="H290" s="487"/>
      <c r="I290" s="488"/>
    </row>
    <row r="291" spans="1:11" ht="14.1" customHeight="1">
      <c r="A291" s="438" t="s">
        <v>171</v>
      </c>
      <c r="B291" s="438"/>
      <c r="C291" s="438"/>
      <c r="D291" s="558">
        <v>0</v>
      </c>
      <c r="E291" s="559"/>
      <c r="F291" s="100">
        <f t="shared" si="0"/>
        <v>0</v>
      </c>
      <c r="G291" s="487">
        <f t="shared" si="1"/>
        <v>0</v>
      </c>
      <c r="H291" s="487"/>
      <c r="I291" s="488"/>
    </row>
    <row r="292" spans="1:11" ht="27" customHeight="1">
      <c r="A292" s="809" t="s">
        <v>172</v>
      </c>
      <c r="B292" s="838"/>
      <c r="C292" s="839"/>
      <c r="D292" s="558">
        <f>G227</f>
        <v>3.04</v>
      </c>
      <c r="E292" s="559"/>
      <c r="F292" s="100">
        <f t="shared" si="0"/>
        <v>600</v>
      </c>
      <c r="G292" s="487">
        <f t="shared" si="1"/>
        <v>1824</v>
      </c>
      <c r="H292" s="487"/>
      <c r="I292" s="488"/>
    </row>
    <row r="293" spans="1:11" ht="16.5" customHeight="1">
      <c r="A293" s="782" t="s">
        <v>173</v>
      </c>
      <c r="B293" s="820"/>
      <c r="C293" s="820"/>
      <c r="D293" s="820"/>
      <c r="E293" s="821"/>
      <c r="F293" s="80">
        <f t="shared" si="0"/>
        <v>7000</v>
      </c>
      <c r="G293" s="394">
        <f>SUM(G287:G292)</f>
        <v>26844</v>
      </c>
      <c r="H293" s="395"/>
      <c r="I293" s="396"/>
    </row>
    <row r="294" spans="1:11" ht="6.75" customHeight="1">
      <c r="A294" s="571"/>
      <c r="B294" s="572"/>
      <c r="C294" s="572"/>
      <c r="D294" s="572"/>
      <c r="E294" s="572"/>
      <c r="F294" s="572"/>
      <c r="G294" s="572"/>
      <c r="H294" s="572"/>
      <c r="I294" s="573"/>
    </row>
    <row r="295" spans="1:11" ht="24" customHeight="1">
      <c r="A295" s="819" t="s">
        <v>174</v>
      </c>
      <c r="B295" s="819"/>
      <c r="C295" s="819"/>
      <c r="D295" s="780">
        <f>G232</f>
        <v>2.02</v>
      </c>
      <c r="E295" s="781"/>
      <c r="F295" s="101">
        <f t="shared" ref="F295:F301" si="2">H22</f>
        <v>500</v>
      </c>
      <c r="G295" s="391">
        <f t="shared" ref="G295:G300" si="3">ROUND(D295*F295,2)</f>
        <v>1010</v>
      </c>
      <c r="H295" s="392"/>
      <c r="I295" s="393"/>
    </row>
    <row r="296" spans="1:11" ht="27.75" customHeight="1">
      <c r="A296" s="383" t="s">
        <v>93</v>
      </c>
      <c r="B296" s="383"/>
      <c r="C296" s="383"/>
      <c r="D296" s="442">
        <f>G236</f>
        <v>0.4</v>
      </c>
      <c r="E296" s="443"/>
      <c r="F296" s="102">
        <f t="shared" si="2"/>
        <v>1200</v>
      </c>
      <c r="G296" s="391">
        <f t="shared" si="3"/>
        <v>480</v>
      </c>
      <c r="H296" s="392"/>
      <c r="I296" s="393"/>
    </row>
    <row r="297" spans="1:11" ht="25.5" customHeight="1">
      <c r="A297" s="383" t="s">
        <v>94</v>
      </c>
      <c r="B297" s="383"/>
      <c r="C297" s="383"/>
      <c r="D297" s="442">
        <f>G240</f>
        <v>2.02</v>
      </c>
      <c r="E297" s="443"/>
      <c r="F297" s="102">
        <f t="shared" si="2"/>
        <v>100</v>
      </c>
      <c r="G297" s="391">
        <f t="shared" si="3"/>
        <v>202</v>
      </c>
      <c r="H297" s="392"/>
      <c r="I297" s="393"/>
    </row>
    <row r="298" spans="1:11" ht="24" customHeight="1">
      <c r="A298" s="383" t="s">
        <v>95</v>
      </c>
      <c r="B298" s="383"/>
      <c r="C298" s="383"/>
      <c r="D298" s="442">
        <f>G244</f>
        <v>2.02</v>
      </c>
      <c r="E298" s="443"/>
      <c r="F298" s="102">
        <f t="shared" si="2"/>
        <v>150</v>
      </c>
      <c r="G298" s="391">
        <f t="shared" si="3"/>
        <v>303</v>
      </c>
      <c r="H298" s="392"/>
      <c r="I298" s="393"/>
    </row>
    <row r="299" spans="1:11" ht="27" customHeight="1">
      <c r="A299" s="383" t="s">
        <v>96</v>
      </c>
      <c r="B299" s="383"/>
      <c r="C299" s="383"/>
      <c r="D299" s="442">
        <f>G248</f>
        <v>2.02</v>
      </c>
      <c r="E299" s="443"/>
      <c r="F299" s="102">
        <f t="shared" si="2"/>
        <v>250</v>
      </c>
      <c r="G299" s="391">
        <f t="shared" si="3"/>
        <v>505</v>
      </c>
      <c r="H299" s="392"/>
      <c r="I299" s="393"/>
    </row>
    <row r="300" spans="1:11" ht="26.25" customHeight="1">
      <c r="A300" s="383" t="s">
        <v>97</v>
      </c>
      <c r="B300" s="383"/>
      <c r="C300" s="383"/>
      <c r="D300" s="442">
        <f>G252</f>
        <v>0.02</v>
      </c>
      <c r="E300" s="443"/>
      <c r="F300" s="102">
        <f t="shared" si="2"/>
        <v>800</v>
      </c>
      <c r="G300" s="391">
        <f t="shared" si="3"/>
        <v>16</v>
      </c>
      <c r="H300" s="392"/>
      <c r="I300" s="393"/>
      <c r="K300" s="1">
        <f>K296</f>
        <v>0</v>
      </c>
    </row>
    <row r="301" spans="1:11" ht="12.75" customHeight="1">
      <c r="A301" s="782" t="s">
        <v>180</v>
      </c>
      <c r="B301" s="820"/>
      <c r="C301" s="820"/>
      <c r="D301" s="820"/>
      <c r="E301" s="821"/>
      <c r="F301" s="82">
        <f t="shared" si="2"/>
        <v>3000</v>
      </c>
      <c r="G301" s="394">
        <f>SUM(G295:G300)</f>
        <v>2516</v>
      </c>
      <c r="H301" s="395"/>
      <c r="I301" s="396"/>
    </row>
    <row r="302" spans="1:11" ht="9" customHeight="1">
      <c r="A302" s="574"/>
      <c r="B302" s="575"/>
      <c r="C302" s="575"/>
      <c r="D302" s="575"/>
      <c r="E302" s="575"/>
      <c r="F302" s="575"/>
      <c r="G302" s="575"/>
      <c r="H302" s="575"/>
      <c r="I302" s="573"/>
    </row>
    <row r="303" spans="1:11" ht="25.5" customHeight="1">
      <c r="A303" s="803" t="s">
        <v>181</v>
      </c>
      <c r="B303" s="804"/>
      <c r="C303" s="805"/>
      <c r="D303" s="780">
        <f>H259</f>
        <v>1.85</v>
      </c>
      <c r="E303" s="781"/>
      <c r="F303" s="49">
        <f>H30</f>
        <v>100</v>
      </c>
      <c r="G303" s="391">
        <f>ROUND(D303*F303,2)</f>
        <v>185</v>
      </c>
      <c r="H303" s="392"/>
      <c r="I303" s="393"/>
    </row>
    <row r="304" spans="1:11" ht="24" customHeight="1">
      <c r="A304" s="440" t="s">
        <v>98</v>
      </c>
      <c r="B304" s="434"/>
      <c r="C304" s="441"/>
      <c r="D304" s="442">
        <f>H263</f>
        <v>0.92</v>
      </c>
      <c r="E304" s="443"/>
      <c r="F304" s="100">
        <f>H31</f>
        <v>250</v>
      </c>
      <c r="G304" s="391">
        <f>ROUND((D304*F304),2)</f>
        <v>230</v>
      </c>
      <c r="H304" s="392"/>
      <c r="I304" s="393"/>
    </row>
    <row r="305" spans="1:9" ht="14.1" customHeight="1">
      <c r="A305" s="440" t="s">
        <v>99</v>
      </c>
      <c r="B305" s="434"/>
      <c r="C305" s="441"/>
      <c r="D305" s="442">
        <f>H267</f>
        <v>0.92</v>
      </c>
      <c r="E305" s="443"/>
      <c r="F305" s="100">
        <f>H32</f>
        <v>350</v>
      </c>
      <c r="G305" s="391">
        <f>ROUND((D305*F305),2)</f>
        <v>322</v>
      </c>
      <c r="H305" s="392"/>
      <c r="I305" s="393"/>
    </row>
    <row r="306" spans="1:9" ht="12.75">
      <c r="A306" s="782" t="s">
        <v>210</v>
      </c>
      <c r="B306" s="820"/>
      <c r="C306" s="820"/>
      <c r="D306" s="824"/>
      <c r="E306" s="825"/>
      <c r="F306" s="80">
        <f>H33</f>
        <v>700</v>
      </c>
      <c r="G306" s="394">
        <f>SUM(G303:G305)</f>
        <v>737</v>
      </c>
      <c r="H306" s="395"/>
      <c r="I306" s="396"/>
    </row>
    <row r="307" spans="1:9" ht="8.25" customHeight="1">
      <c r="A307" s="574"/>
      <c r="B307" s="572"/>
      <c r="C307" s="572"/>
      <c r="D307" s="572"/>
      <c r="E307" s="572"/>
      <c r="F307" s="572"/>
      <c r="G307" s="572"/>
      <c r="H307" s="572"/>
      <c r="I307" s="573"/>
    </row>
    <row r="308" spans="1:9" ht="14.1" customHeight="1">
      <c r="A308" s="790" t="s">
        <v>214</v>
      </c>
      <c r="B308" s="791"/>
      <c r="C308" s="792"/>
      <c r="D308" s="786">
        <f>H273</f>
        <v>0.15</v>
      </c>
      <c r="E308" s="787"/>
      <c r="F308" s="50">
        <f>H36</f>
        <v>70</v>
      </c>
      <c r="G308" s="583">
        <f>ROUND((D308*F308),2)</f>
        <v>10.5</v>
      </c>
      <c r="H308" s="371"/>
      <c r="I308" s="393"/>
    </row>
    <row r="309" spans="1:9" ht="12.75">
      <c r="A309" s="782" t="s">
        <v>223</v>
      </c>
      <c r="B309" s="783"/>
      <c r="C309" s="783"/>
      <c r="D309" s="784"/>
      <c r="E309" s="785"/>
      <c r="F309" s="80">
        <f>F308</f>
        <v>70</v>
      </c>
      <c r="G309" s="394">
        <f>G308</f>
        <v>10.5</v>
      </c>
      <c r="H309" s="387"/>
      <c r="I309" s="396"/>
    </row>
    <row r="310" spans="1:9" ht="6.75" customHeight="1">
      <c r="A310" s="574"/>
      <c r="B310" s="817"/>
      <c r="C310" s="817"/>
      <c r="D310" s="572"/>
      <c r="E310" s="572"/>
      <c r="F310" s="572"/>
      <c r="G310" s="572"/>
      <c r="H310" s="572"/>
      <c r="I310" s="573"/>
    </row>
    <row r="311" spans="1:9" ht="14.1" customHeight="1">
      <c r="A311" s="833" t="s">
        <v>184</v>
      </c>
      <c r="B311" s="445"/>
      <c r="C311" s="834"/>
      <c r="D311" s="835"/>
      <c r="E311" s="836"/>
      <c r="F311" s="49">
        <v>0</v>
      </c>
      <c r="G311" s="391">
        <v>0</v>
      </c>
      <c r="H311" s="392"/>
      <c r="I311" s="393"/>
    </row>
    <row r="312" spans="1:9" ht="14.1" customHeight="1">
      <c r="A312" s="826" t="s">
        <v>211</v>
      </c>
      <c r="B312" s="827"/>
      <c r="C312" s="827"/>
      <c r="D312" s="828"/>
      <c r="E312" s="829"/>
      <c r="F312" s="22">
        <f>H37</f>
        <v>0</v>
      </c>
      <c r="G312" s="583">
        <f>H311</f>
        <v>0</v>
      </c>
      <c r="H312" s="577"/>
      <c r="I312" s="373"/>
    </row>
    <row r="313" spans="1:9" ht="7.5" customHeight="1">
      <c r="A313" s="837"/>
      <c r="B313" s="407"/>
      <c r="C313" s="407"/>
      <c r="D313" s="407"/>
      <c r="E313" s="407"/>
      <c r="F313" s="407"/>
      <c r="G313" s="407"/>
      <c r="H313" s="407"/>
      <c r="I313" s="408"/>
    </row>
    <row r="314" spans="1:9" ht="12.75">
      <c r="A314" s="809" t="s">
        <v>92</v>
      </c>
      <c r="B314" s="810"/>
      <c r="C314" s="810"/>
      <c r="D314" s="811"/>
      <c r="E314" s="812"/>
      <c r="F314" s="100">
        <f>H39</f>
        <v>0</v>
      </c>
      <c r="G314" s="391">
        <f>H314</f>
        <v>0</v>
      </c>
      <c r="H314" s="392"/>
      <c r="I314" s="818"/>
    </row>
    <row r="315" spans="1:9" ht="12.75">
      <c r="A315" s="813" t="s">
        <v>90</v>
      </c>
      <c r="B315" s="814"/>
      <c r="C315" s="814"/>
      <c r="D315" s="814"/>
      <c r="E315" s="814"/>
      <c r="F315" s="118">
        <v>0</v>
      </c>
      <c r="G315" s="577">
        <f>G314</f>
        <v>0</v>
      </c>
      <c r="H315" s="372"/>
      <c r="I315" s="373"/>
    </row>
    <row r="316" spans="1:9" ht="7.5" customHeight="1">
      <c r="A316" s="806"/>
      <c r="B316" s="807"/>
      <c r="C316" s="807"/>
      <c r="D316" s="808"/>
      <c r="E316" s="808"/>
      <c r="F316" s="808"/>
      <c r="G316" s="808"/>
      <c r="H316" s="808"/>
      <c r="I316" s="467"/>
    </row>
    <row r="317" spans="1:9" ht="12.75">
      <c r="A317" s="815" t="s">
        <v>134</v>
      </c>
      <c r="B317" s="815"/>
      <c r="C317" s="815"/>
      <c r="D317" s="815"/>
      <c r="E317" s="816"/>
      <c r="F317" s="50">
        <f>ROUND(F293+F301+F306+F309+F312 + F315,2)</f>
        <v>10770</v>
      </c>
      <c r="G317" s="583">
        <f>SUM(G293+G301+G306+G309+G312 + G315)</f>
        <v>30107.5</v>
      </c>
      <c r="H317" s="577"/>
      <c r="I317" s="373"/>
    </row>
    <row r="318" spans="1:9" ht="6.75" customHeight="1">
      <c r="A318" s="830"/>
      <c r="B318" s="831"/>
      <c r="C318" s="831"/>
      <c r="D318" s="831"/>
      <c r="E318" s="831"/>
      <c r="F318" s="831"/>
      <c r="G318" s="831"/>
      <c r="H318" s="831"/>
      <c r="I318" s="832"/>
    </row>
    <row r="319" spans="1:9" ht="18.75" customHeight="1">
      <c r="A319" s="450" t="s">
        <v>124</v>
      </c>
      <c r="B319" s="450"/>
      <c r="C319" s="450"/>
      <c r="D319" s="450"/>
      <c r="E319" s="450"/>
      <c r="F319" s="450"/>
      <c r="G319" s="451">
        <f>G317</f>
        <v>30107.5</v>
      </c>
      <c r="H319" s="452"/>
      <c r="I319" s="453"/>
    </row>
    <row r="320" spans="1:9" ht="8.25" customHeight="1">
      <c r="A320" s="822"/>
      <c r="B320" s="823"/>
      <c r="C320" s="823"/>
      <c r="D320" s="823"/>
      <c r="E320" s="823"/>
      <c r="F320" s="823"/>
      <c r="G320" s="823"/>
      <c r="H320" s="823"/>
      <c r="I320" s="823"/>
    </row>
    <row r="321" spans="1:9" ht="19.5" customHeight="1">
      <c r="A321" s="795" t="s">
        <v>314</v>
      </c>
      <c r="B321" s="796"/>
      <c r="C321" s="796"/>
      <c r="D321" s="796"/>
      <c r="E321" s="796"/>
      <c r="F321" s="797"/>
      <c r="G321" s="800">
        <f>H11</f>
        <v>12</v>
      </c>
      <c r="H321" s="801"/>
      <c r="I321" s="802"/>
    </row>
    <row r="322" spans="1:9" ht="8.25" customHeight="1">
      <c r="A322" s="798"/>
      <c r="B322" s="799"/>
      <c r="C322" s="799"/>
      <c r="D322" s="799"/>
      <c r="E322" s="799"/>
      <c r="F322" s="799"/>
      <c r="G322" s="799"/>
      <c r="H322" s="799"/>
      <c r="I322" s="799"/>
    </row>
    <row r="323" spans="1:9" ht="31.5" customHeight="1">
      <c r="A323" s="774" t="s">
        <v>315</v>
      </c>
      <c r="B323" s="775"/>
      <c r="C323" s="775"/>
      <c r="D323" s="775"/>
      <c r="E323" s="775"/>
      <c r="F323" s="776"/>
      <c r="G323" s="777">
        <f>ROUND(G317*G321,2)</f>
        <v>361290</v>
      </c>
      <c r="H323" s="778"/>
      <c r="I323" s="779"/>
    </row>
    <row r="324" spans="1:9" ht="8.25" customHeight="1">
      <c r="A324" s="788"/>
      <c r="B324" s="789"/>
      <c r="C324" s="789"/>
      <c r="D324" s="789"/>
      <c r="E324" s="789"/>
      <c r="F324" s="789"/>
      <c r="G324" s="789"/>
      <c r="H324" s="789"/>
      <c r="I324" s="340"/>
    </row>
    <row r="325" spans="1:9" ht="29.25" customHeight="1">
      <c r="A325" s="793" t="s">
        <v>320</v>
      </c>
      <c r="B325" s="794"/>
      <c r="C325" s="794"/>
      <c r="D325" s="794"/>
      <c r="E325" s="794"/>
      <c r="F325" s="794"/>
      <c r="G325" s="794"/>
      <c r="H325" s="794"/>
      <c r="I325" s="467"/>
    </row>
    <row r="326" spans="1:9">
      <c r="A326" s="766" t="s">
        <v>166</v>
      </c>
      <c r="B326" s="767"/>
      <c r="C326" s="767"/>
      <c r="D326" s="768"/>
      <c r="E326" s="768"/>
      <c r="F326" s="768"/>
      <c r="G326" s="769"/>
      <c r="H326" s="605" t="s">
        <v>158</v>
      </c>
      <c r="I326" s="606"/>
    </row>
    <row r="327" spans="1:9">
      <c r="A327" s="770"/>
      <c r="B327" s="771"/>
      <c r="C327" s="771"/>
      <c r="D327" s="772"/>
      <c r="E327" s="772"/>
      <c r="F327" s="772"/>
      <c r="G327" s="773"/>
      <c r="H327" s="607"/>
      <c r="I327" s="608"/>
    </row>
    <row r="328" spans="1:9" ht="12.75">
      <c r="A328" s="761" t="s">
        <v>154</v>
      </c>
      <c r="B328" s="762"/>
      <c r="C328" s="762"/>
      <c r="D328" s="466"/>
      <c r="E328" s="466"/>
      <c r="F328" s="466"/>
      <c r="G328" s="467"/>
      <c r="H328" s="764"/>
      <c r="I328" s="765"/>
    </row>
    <row r="329" spans="1:9" ht="12.75">
      <c r="A329" s="761" t="s">
        <v>155</v>
      </c>
      <c r="B329" s="762"/>
      <c r="C329" s="762"/>
      <c r="D329" s="466"/>
      <c r="E329" s="466"/>
      <c r="F329" s="466"/>
      <c r="G329" s="467"/>
      <c r="H329" s="764"/>
      <c r="I329" s="765"/>
    </row>
    <row r="330" spans="1:9" ht="12.75">
      <c r="A330" s="440"/>
      <c r="B330" s="434"/>
      <c r="C330" s="434"/>
      <c r="D330" s="466"/>
      <c r="E330" s="466"/>
      <c r="F330" s="466"/>
      <c r="G330" s="466"/>
      <c r="H330" s="466"/>
      <c r="I330" s="467"/>
    </row>
    <row r="331" spans="1:9" ht="9" customHeight="1">
      <c r="A331" s="760"/>
      <c r="B331" s="760"/>
      <c r="C331" s="760"/>
      <c r="D331" s="760"/>
      <c r="E331" s="760"/>
      <c r="F331" s="760"/>
      <c r="G331" s="760"/>
      <c r="H331" s="760"/>
      <c r="I331" s="474"/>
    </row>
    <row r="332" spans="1:9" hidden="1">
      <c r="A332" s="760"/>
      <c r="B332" s="760"/>
      <c r="C332" s="760"/>
      <c r="D332" s="760"/>
      <c r="E332" s="760"/>
      <c r="F332" s="760"/>
      <c r="G332" s="760"/>
      <c r="H332" s="760"/>
      <c r="I332" s="474"/>
    </row>
    <row r="333" spans="1:9" ht="27" customHeight="1">
      <c r="A333" s="793" t="s">
        <v>329</v>
      </c>
      <c r="B333" s="794"/>
      <c r="C333" s="794"/>
      <c r="D333" s="794"/>
      <c r="E333" s="794"/>
      <c r="F333" s="794"/>
      <c r="G333" s="794"/>
      <c r="H333" s="794"/>
      <c r="I333" s="466"/>
    </row>
    <row r="334" spans="1:9" ht="12.75">
      <c r="A334" s="400" t="s">
        <v>212</v>
      </c>
      <c r="B334" s="400"/>
      <c r="C334" s="400"/>
      <c r="D334" s="400"/>
      <c r="E334" s="400"/>
      <c r="F334" s="400"/>
      <c r="G334" s="400"/>
      <c r="H334" s="338" t="s">
        <v>160</v>
      </c>
      <c r="I334" s="399"/>
    </row>
    <row r="335" spans="1:9" ht="15">
      <c r="A335" s="763"/>
      <c r="B335" s="763"/>
      <c r="C335" s="763"/>
      <c r="D335" s="443"/>
      <c r="E335" s="443"/>
      <c r="F335" s="443"/>
      <c r="G335" s="443"/>
      <c r="H335" s="576"/>
      <c r="I335" s="399"/>
    </row>
    <row r="336" spans="1:9" ht="12.75">
      <c r="A336" s="438"/>
      <c r="B336" s="438"/>
      <c r="C336" s="438"/>
      <c r="D336" s="439"/>
      <c r="E336" s="439"/>
      <c r="F336" s="439"/>
      <c r="G336" s="439"/>
      <c r="H336" s="576"/>
      <c r="I336" s="399"/>
    </row>
    <row r="337" spans="1:9" ht="12.75">
      <c r="A337" s="561"/>
      <c r="B337" s="561"/>
      <c r="C337" s="561"/>
      <c r="D337" s="439"/>
      <c r="E337" s="439"/>
      <c r="F337" s="439"/>
      <c r="G337" s="439"/>
      <c r="H337" s="576"/>
      <c r="I337" s="399"/>
    </row>
    <row r="338" spans="1:9" ht="12.75">
      <c r="A338" s="30"/>
      <c r="B338" s="30"/>
      <c r="C338" s="30"/>
      <c r="D338" s="30"/>
      <c r="E338" s="30"/>
      <c r="F338" s="30"/>
      <c r="G338" s="30"/>
      <c r="H338" s="30"/>
      <c r="I338" s="43"/>
    </row>
    <row r="339" spans="1:9" ht="12.75">
      <c r="A339" s="23"/>
      <c r="B339" s="23"/>
      <c r="C339" s="23"/>
      <c r="D339" s="23"/>
      <c r="E339" s="23"/>
      <c r="F339" s="23"/>
      <c r="G339" s="23"/>
      <c r="H339" s="23"/>
      <c r="I339" s="44"/>
    </row>
    <row r="340" spans="1:9" ht="12.75">
      <c r="A340" s="23"/>
      <c r="B340" s="23"/>
      <c r="C340" s="23"/>
      <c r="D340" s="23"/>
      <c r="E340" s="23"/>
      <c r="F340" s="23"/>
      <c r="G340" s="23"/>
      <c r="H340" s="23"/>
      <c r="I340" s="44"/>
    </row>
    <row r="341" spans="1:9" ht="12.75">
      <c r="A341" s="23"/>
      <c r="B341" s="23"/>
      <c r="C341" s="23"/>
      <c r="D341" s="23"/>
      <c r="E341" s="23"/>
      <c r="F341" s="23"/>
      <c r="G341" s="23"/>
      <c r="H341" s="23"/>
      <c r="I341" s="44"/>
    </row>
    <row r="342" spans="1:9" ht="12.75">
      <c r="A342" s="23"/>
      <c r="B342" s="23"/>
      <c r="C342" s="23"/>
      <c r="D342" s="23"/>
      <c r="E342" s="23"/>
      <c r="F342" s="23"/>
      <c r="G342" s="23"/>
      <c r="H342" s="23"/>
      <c r="I342" s="44"/>
    </row>
    <row r="343" spans="1:9" ht="12.75">
      <c r="A343" s="23"/>
      <c r="B343" s="23"/>
      <c r="C343" s="23"/>
      <c r="D343" s="23"/>
      <c r="E343" s="23"/>
      <c r="F343" s="23"/>
      <c r="G343" s="23"/>
      <c r="H343" s="23"/>
      <c r="I343" s="44"/>
    </row>
    <row r="344" spans="1:9" ht="12.75">
      <c r="A344" s="23"/>
      <c r="B344" s="23"/>
      <c r="C344" s="23"/>
      <c r="D344" s="23"/>
      <c r="E344" s="23"/>
      <c r="F344" s="23"/>
      <c r="G344" s="23"/>
      <c r="H344" s="23"/>
      <c r="I344" s="44"/>
    </row>
    <row r="345" spans="1:9" ht="12.75">
      <c r="A345" s="550"/>
      <c r="B345" s="550"/>
      <c r="C345" s="550"/>
      <c r="D345" s="550"/>
      <c r="E345" s="550"/>
      <c r="F345" s="550"/>
      <c r="G345" s="550"/>
      <c r="H345" s="550"/>
      <c r="I345" s="39"/>
    </row>
    <row r="346" spans="1:9" ht="12.75">
      <c r="A346" s="584"/>
      <c r="B346" s="584"/>
      <c r="C346" s="584"/>
      <c r="D346" s="25"/>
      <c r="E346" s="578"/>
      <c r="F346" s="578"/>
      <c r="G346" s="578"/>
      <c r="H346" s="578"/>
      <c r="I346" s="42"/>
    </row>
    <row r="347" spans="1:9" ht="12.75">
      <c r="A347" s="584"/>
      <c r="B347" s="584"/>
      <c r="C347" s="584"/>
      <c r="D347" s="18"/>
      <c r="E347" s="578"/>
      <c r="F347" s="578"/>
      <c r="G347" s="578"/>
      <c r="H347" s="578"/>
      <c r="I347" s="42"/>
    </row>
    <row r="348" spans="1:9" ht="12.75">
      <c r="A348" s="584"/>
      <c r="B348" s="584"/>
      <c r="C348" s="584"/>
      <c r="D348" s="18"/>
      <c r="E348" s="578"/>
      <c r="F348" s="578"/>
      <c r="G348" s="578"/>
      <c r="H348" s="578"/>
      <c r="I348" s="42"/>
    </row>
    <row r="349" spans="1:9" ht="12.75">
      <c r="A349" s="584"/>
      <c r="B349" s="584"/>
      <c r="C349" s="584"/>
      <c r="D349" s="18"/>
      <c r="E349" s="578"/>
      <c r="F349" s="578"/>
      <c r="G349" s="578"/>
      <c r="H349" s="578"/>
      <c r="I349" s="42"/>
    </row>
    <row r="350" spans="1:9" ht="12.75">
      <c r="A350" s="584"/>
      <c r="B350" s="584"/>
      <c r="C350" s="584"/>
      <c r="D350" s="18"/>
      <c r="E350" s="578"/>
      <c r="F350" s="578"/>
      <c r="G350" s="578"/>
      <c r="H350" s="578"/>
      <c r="I350" s="42"/>
    </row>
    <row r="351" spans="1:9">
      <c r="A351" s="414"/>
      <c r="B351" s="414"/>
      <c r="C351" s="414"/>
      <c r="D351" s="414"/>
      <c r="E351" s="414"/>
      <c r="F351" s="414"/>
      <c r="G351" s="414"/>
      <c r="H351" s="414"/>
      <c r="I351" s="45"/>
    </row>
  </sheetData>
  <mergeCells count="628">
    <mergeCell ref="A112:H112"/>
    <mergeCell ref="B111:H111"/>
    <mergeCell ref="A114:I114"/>
    <mergeCell ref="A313:I313"/>
    <mergeCell ref="A315:E315"/>
    <mergeCell ref="A316:I316"/>
    <mergeCell ref="A312:E312"/>
    <mergeCell ref="G312:I312"/>
    <mergeCell ref="C230:D230"/>
    <mergeCell ref="E230:F230"/>
    <mergeCell ref="C217:D217"/>
    <mergeCell ref="G217:I217"/>
    <mergeCell ref="E218:F218"/>
    <mergeCell ref="A223:F223"/>
    <mergeCell ref="C239:D239"/>
    <mergeCell ref="E239:F239"/>
    <mergeCell ref="G239:I239"/>
    <mergeCell ref="C236:D236"/>
    <mergeCell ref="E236:F236"/>
    <mergeCell ref="G230:I230"/>
    <mergeCell ref="A236:B236"/>
    <mergeCell ref="A218:B218"/>
    <mergeCell ref="G219:I219"/>
    <mergeCell ref="E217:F217"/>
    <mergeCell ref="BE217:BL228"/>
    <mergeCell ref="BM217:BT228"/>
    <mergeCell ref="A336:G336"/>
    <mergeCell ref="G305:I305"/>
    <mergeCell ref="A305:C305"/>
    <mergeCell ref="D305:E305"/>
    <mergeCell ref="A304:C304"/>
    <mergeCell ref="D304:E304"/>
    <mergeCell ref="G306:I306"/>
    <mergeCell ref="AO217:AV228"/>
    <mergeCell ref="A306:E306"/>
    <mergeCell ref="A303:C303"/>
    <mergeCell ref="D303:E303"/>
    <mergeCell ref="A309:E309"/>
    <mergeCell ref="D308:E308"/>
    <mergeCell ref="A308:C308"/>
    <mergeCell ref="A324:I324"/>
    <mergeCell ref="A317:E317"/>
    <mergeCell ref="A323:F323"/>
    <mergeCell ref="A325:I325"/>
    <mergeCell ref="A318:I318"/>
    <mergeCell ref="A321:F321"/>
    <mergeCell ref="A322:I322"/>
    <mergeCell ref="G321:I321"/>
    <mergeCell ref="IO217:IV228"/>
    <mergeCell ref="CC217:CJ228"/>
    <mergeCell ref="BU217:CB228"/>
    <mergeCell ref="HY217:IF228"/>
    <mergeCell ref="IG217:IN228"/>
    <mergeCell ref="DQ217:DX228"/>
    <mergeCell ref="DY217:EF228"/>
    <mergeCell ref="DA217:DH228"/>
    <mergeCell ref="DI217:DP228"/>
    <mergeCell ref="HQ217:HX228"/>
    <mergeCell ref="CK217:CR228"/>
    <mergeCell ref="CS217:CZ228"/>
    <mergeCell ref="GC217:GJ228"/>
    <mergeCell ref="GK217:GR228"/>
    <mergeCell ref="FM217:FT228"/>
    <mergeCell ref="FU217:GB228"/>
    <mergeCell ref="EW217:FD228"/>
    <mergeCell ref="HI217:HP228"/>
    <mergeCell ref="FE217:FL228"/>
    <mergeCell ref="EG217:EN228"/>
    <mergeCell ref="EO217:EV228"/>
    <mergeCell ref="GS217:GZ228"/>
    <mergeCell ref="HA217:HH228"/>
    <mergeCell ref="AW217:BD228"/>
    <mergeCell ref="J217:P228"/>
    <mergeCell ref="Q217:X228"/>
    <mergeCell ref="Y217:AF228"/>
    <mergeCell ref="AG217:AN228"/>
    <mergeCell ref="A210:B210"/>
    <mergeCell ref="A215:F215"/>
    <mergeCell ref="C226:D226"/>
    <mergeCell ref="E226:F226"/>
    <mergeCell ref="E222:F222"/>
    <mergeCell ref="C218:D218"/>
    <mergeCell ref="G223:I223"/>
    <mergeCell ref="G221:I221"/>
    <mergeCell ref="G222:I222"/>
    <mergeCell ref="G218:I218"/>
    <mergeCell ref="A222:B222"/>
    <mergeCell ref="A224:I224"/>
    <mergeCell ref="A228:I228"/>
    <mergeCell ref="G226:I226"/>
    <mergeCell ref="G227:I227"/>
    <mergeCell ref="A226:B226"/>
    <mergeCell ref="E225:F225"/>
    <mergeCell ref="A199:I199"/>
    <mergeCell ref="A202:I202"/>
    <mergeCell ref="B176:H176"/>
    <mergeCell ref="A185:B185"/>
    <mergeCell ref="B177:H177"/>
    <mergeCell ref="B178:H178"/>
    <mergeCell ref="A195:I195"/>
    <mergeCell ref="A179:H179"/>
    <mergeCell ref="C184:D184"/>
    <mergeCell ref="A182:I182"/>
    <mergeCell ref="A181:H181"/>
    <mergeCell ref="A196:I196"/>
    <mergeCell ref="A197:I197"/>
    <mergeCell ref="A188:H188"/>
    <mergeCell ref="C186:D186"/>
    <mergeCell ref="C187:D187"/>
    <mergeCell ref="A184:B184"/>
    <mergeCell ref="F184:G184"/>
    <mergeCell ref="C185:D185"/>
    <mergeCell ref="F187:G187"/>
    <mergeCell ref="A189:I189"/>
    <mergeCell ref="A190:I190"/>
    <mergeCell ref="A2:I2"/>
    <mergeCell ref="A29:I29"/>
    <mergeCell ref="H30:I30"/>
    <mergeCell ref="A3:I3"/>
    <mergeCell ref="H27:I27"/>
    <mergeCell ref="H24:I24"/>
    <mergeCell ref="H25:I25"/>
    <mergeCell ref="H26:I26"/>
    <mergeCell ref="H28:I28"/>
    <mergeCell ref="H22:I22"/>
    <mergeCell ref="F15:G15"/>
    <mergeCell ref="A16:E16"/>
    <mergeCell ref="A20:G20"/>
    <mergeCell ref="F18:G18"/>
    <mergeCell ref="A15:E15"/>
    <mergeCell ref="H19:I19"/>
    <mergeCell ref="H14:I14"/>
    <mergeCell ref="H13:I13"/>
    <mergeCell ref="H16:I16"/>
    <mergeCell ref="A12:I12"/>
    <mergeCell ref="A4:E4"/>
    <mergeCell ref="A5:E5"/>
    <mergeCell ref="F4:I4"/>
    <mergeCell ref="A6:I6"/>
    <mergeCell ref="A33:G33"/>
    <mergeCell ref="H32:I32"/>
    <mergeCell ref="F24:G24"/>
    <mergeCell ref="F30:G30"/>
    <mergeCell ref="A22:E22"/>
    <mergeCell ref="A36:G36"/>
    <mergeCell ref="H39:I39"/>
    <mergeCell ref="H36:I36"/>
    <mergeCell ref="F25:G25"/>
    <mergeCell ref="A30:E30"/>
    <mergeCell ref="A35:E35"/>
    <mergeCell ref="F35:G35"/>
    <mergeCell ref="A32:E32"/>
    <mergeCell ref="A25:E25"/>
    <mergeCell ref="A28:G28"/>
    <mergeCell ref="AG49:AN49"/>
    <mergeCell ref="J49:P49"/>
    <mergeCell ref="H50:I50"/>
    <mergeCell ref="B50:G50"/>
    <mergeCell ref="Q49:X49"/>
    <mergeCell ref="Y49:AF49"/>
    <mergeCell ref="A49:I49"/>
    <mergeCell ref="A39:G39"/>
    <mergeCell ref="A41:E41"/>
    <mergeCell ref="H42:I42"/>
    <mergeCell ref="A42:G42"/>
    <mergeCell ref="H41:I41"/>
    <mergeCell ref="A43:I43"/>
    <mergeCell ref="A45:I45"/>
    <mergeCell ref="A48:I48"/>
    <mergeCell ref="A47:I47"/>
    <mergeCell ref="F41:G41"/>
    <mergeCell ref="A46:I46"/>
    <mergeCell ref="H44:I44"/>
    <mergeCell ref="A44:G44"/>
    <mergeCell ref="B73:G73"/>
    <mergeCell ref="B71:G71"/>
    <mergeCell ref="A191:H191"/>
    <mergeCell ref="B79:H79"/>
    <mergeCell ref="B68:H68"/>
    <mergeCell ref="B69:H69"/>
    <mergeCell ref="G286:I286"/>
    <mergeCell ref="D273:E273"/>
    <mergeCell ref="A203:I203"/>
    <mergeCell ref="G204:I204"/>
    <mergeCell ref="G205:I205"/>
    <mergeCell ref="G206:I206"/>
    <mergeCell ref="C206:D206"/>
    <mergeCell ref="A206:B206"/>
    <mergeCell ref="A205:B205"/>
    <mergeCell ref="C205:D205"/>
    <mergeCell ref="E205:F205"/>
    <mergeCell ref="A204:B204"/>
    <mergeCell ref="A216:I216"/>
    <mergeCell ref="A217:B217"/>
    <mergeCell ref="C222:D222"/>
    <mergeCell ref="A235:B235"/>
    <mergeCell ref="E204:F204"/>
    <mergeCell ref="B180:H180"/>
    <mergeCell ref="A307:I307"/>
    <mergeCell ref="G303:I303"/>
    <mergeCell ref="G304:I304"/>
    <mergeCell ref="A245:F245"/>
    <mergeCell ref="G308:I308"/>
    <mergeCell ref="A345:H345"/>
    <mergeCell ref="E280:F280"/>
    <mergeCell ref="G281:I281"/>
    <mergeCell ref="A282:I282"/>
    <mergeCell ref="A283:I283"/>
    <mergeCell ref="A287:C287"/>
    <mergeCell ref="D287:E287"/>
    <mergeCell ref="G317:I317"/>
    <mergeCell ref="G323:I323"/>
    <mergeCell ref="A320:I320"/>
    <mergeCell ref="G309:I309"/>
    <mergeCell ref="A319:F319"/>
    <mergeCell ref="G319:I319"/>
    <mergeCell ref="A314:E314"/>
    <mergeCell ref="A310:I310"/>
    <mergeCell ref="G311:I311"/>
    <mergeCell ref="G314:I314"/>
    <mergeCell ref="A311:C311"/>
    <mergeCell ref="D311:E311"/>
    <mergeCell ref="AW49:BD49"/>
    <mergeCell ref="A207:F207"/>
    <mergeCell ref="A221:B221"/>
    <mergeCell ref="C221:D221"/>
    <mergeCell ref="E221:F221"/>
    <mergeCell ref="A219:F219"/>
    <mergeCell ref="A220:I220"/>
    <mergeCell ref="G209:I209"/>
    <mergeCell ref="G210:I210"/>
    <mergeCell ref="G211:I211"/>
    <mergeCell ref="AO49:AV49"/>
    <mergeCell ref="B62:H62"/>
    <mergeCell ref="G213:I213"/>
    <mergeCell ref="G207:I207"/>
    <mergeCell ref="A208:I208"/>
    <mergeCell ref="G214:I214"/>
    <mergeCell ref="G215:I215"/>
    <mergeCell ref="A212:I212"/>
    <mergeCell ref="C210:D210"/>
    <mergeCell ref="E214:F214"/>
    <mergeCell ref="B61:G61"/>
    <mergeCell ref="H52:I52"/>
    <mergeCell ref="H51:I51"/>
    <mergeCell ref="A54:I54"/>
    <mergeCell ref="DQ49:DX49"/>
    <mergeCell ref="DY49:EF49"/>
    <mergeCell ref="CS49:CZ49"/>
    <mergeCell ref="DA49:DH49"/>
    <mergeCell ref="BE49:BL49"/>
    <mergeCell ref="BM49:BT49"/>
    <mergeCell ref="BU49:CB49"/>
    <mergeCell ref="DI49:DP49"/>
    <mergeCell ref="CC49:CJ49"/>
    <mergeCell ref="CK49:CR49"/>
    <mergeCell ref="IO49:IV49"/>
    <mergeCell ref="GK49:GR49"/>
    <mergeCell ref="GS49:GZ49"/>
    <mergeCell ref="HA49:HH49"/>
    <mergeCell ref="HI49:HP49"/>
    <mergeCell ref="HQ49:HX49"/>
    <mergeCell ref="HY49:IF49"/>
    <mergeCell ref="EG49:EN49"/>
    <mergeCell ref="EO49:EV49"/>
    <mergeCell ref="EW49:FD49"/>
    <mergeCell ref="IG49:IN49"/>
    <mergeCell ref="FE49:FL49"/>
    <mergeCell ref="FM49:FT49"/>
    <mergeCell ref="FU49:GB49"/>
    <mergeCell ref="GC49:GJ49"/>
    <mergeCell ref="A351:H351"/>
    <mergeCell ref="A209:B209"/>
    <mergeCell ref="C209:D209"/>
    <mergeCell ref="E209:F209"/>
    <mergeCell ref="A211:F211"/>
    <mergeCell ref="A213:B213"/>
    <mergeCell ref="C213:D213"/>
    <mergeCell ref="E213:F213"/>
    <mergeCell ref="A214:B214"/>
    <mergeCell ref="C214:D214"/>
    <mergeCell ref="A244:B244"/>
    <mergeCell ref="C244:D244"/>
    <mergeCell ref="E244:F244"/>
    <mergeCell ref="A241:F241"/>
    <mergeCell ref="A243:B243"/>
    <mergeCell ref="G241:I241"/>
    <mergeCell ref="A242:I242"/>
    <mergeCell ref="A350:C350"/>
    <mergeCell ref="A346:C346"/>
    <mergeCell ref="A347:C347"/>
    <mergeCell ref="A348:C348"/>
    <mergeCell ref="A349:C349"/>
    <mergeCell ref="E346:H350"/>
    <mergeCell ref="A337:G337"/>
    <mergeCell ref="D272:E272"/>
    <mergeCell ref="D263:E263"/>
    <mergeCell ref="D266:E266"/>
    <mergeCell ref="A264:G264"/>
    <mergeCell ref="H263:I263"/>
    <mergeCell ref="H264:I264"/>
    <mergeCell ref="A275:I275"/>
    <mergeCell ref="A276:I277"/>
    <mergeCell ref="A265:I265"/>
    <mergeCell ref="A269:I269"/>
    <mergeCell ref="D267:E267"/>
    <mergeCell ref="H266:I266"/>
    <mergeCell ref="H267:I267"/>
    <mergeCell ref="H268:I268"/>
    <mergeCell ref="H271:I271"/>
    <mergeCell ref="A270:I270"/>
    <mergeCell ref="A268:G268"/>
    <mergeCell ref="D271:E271"/>
    <mergeCell ref="H272:I272"/>
    <mergeCell ref="H273:I273"/>
    <mergeCell ref="H274:I274"/>
    <mergeCell ref="A274:G274"/>
    <mergeCell ref="H259:I259"/>
    <mergeCell ref="H260:I260"/>
    <mergeCell ref="G253:I253"/>
    <mergeCell ref="A254:I254"/>
    <mergeCell ref="A255:I256"/>
    <mergeCell ref="A253:F253"/>
    <mergeCell ref="D258:E258"/>
    <mergeCell ref="D259:E259"/>
    <mergeCell ref="H258:I258"/>
    <mergeCell ref="A260:G260"/>
    <mergeCell ref="D257:E257"/>
    <mergeCell ref="H257:I257"/>
    <mergeCell ref="G252:I252"/>
    <mergeCell ref="A225:B225"/>
    <mergeCell ref="G225:I225"/>
    <mergeCell ref="C225:D225"/>
    <mergeCell ref="A252:B252"/>
    <mergeCell ref="C252:D252"/>
    <mergeCell ref="E252:F252"/>
    <mergeCell ref="G251:I251"/>
    <mergeCell ref="C251:D251"/>
    <mergeCell ref="C235:D235"/>
    <mergeCell ref="E235:F235"/>
    <mergeCell ref="G245:I245"/>
    <mergeCell ref="A246:I246"/>
    <mergeCell ref="G244:I244"/>
    <mergeCell ref="A251:B251"/>
    <mergeCell ref="A237:F237"/>
    <mergeCell ref="A229:I229"/>
    <mergeCell ref="E232:F232"/>
    <mergeCell ref="A227:F227"/>
    <mergeCell ref="A231:B231"/>
    <mergeCell ref="G249:I249"/>
    <mergeCell ref="G236:I236"/>
    <mergeCell ref="G243:I243"/>
    <mergeCell ref="G231:I231"/>
    <mergeCell ref="A240:B240"/>
    <mergeCell ref="G233:I233"/>
    <mergeCell ref="A234:I234"/>
    <mergeCell ref="C232:D232"/>
    <mergeCell ref="A232:B232"/>
    <mergeCell ref="G235:I235"/>
    <mergeCell ref="E251:F251"/>
    <mergeCell ref="A250:I250"/>
    <mergeCell ref="C240:D240"/>
    <mergeCell ref="C243:D243"/>
    <mergeCell ref="E247:F247"/>
    <mergeCell ref="G247:I247"/>
    <mergeCell ref="G237:I237"/>
    <mergeCell ref="A238:I238"/>
    <mergeCell ref="G240:I240"/>
    <mergeCell ref="E240:F240"/>
    <mergeCell ref="A239:B239"/>
    <mergeCell ref="E243:F243"/>
    <mergeCell ref="A247:B247"/>
    <mergeCell ref="C247:D247"/>
    <mergeCell ref="B65:H65"/>
    <mergeCell ref="A66:H66"/>
    <mergeCell ref="B59:H59"/>
    <mergeCell ref="F16:G16"/>
    <mergeCell ref="B63:H63"/>
    <mergeCell ref="B72:H72"/>
    <mergeCell ref="H53:I53"/>
    <mergeCell ref="A55:I55"/>
    <mergeCell ref="A56:I56"/>
    <mergeCell ref="B58:G58"/>
    <mergeCell ref="B51:G51"/>
    <mergeCell ref="B60:G60"/>
    <mergeCell ref="F26:G26"/>
    <mergeCell ref="A37:I37"/>
    <mergeCell ref="H38:I38"/>
    <mergeCell ref="H20:I20"/>
    <mergeCell ref="H18:I18"/>
    <mergeCell ref="A23:E23"/>
    <mergeCell ref="A24:E24"/>
    <mergeCell ref="A17:E17"/>
    <mergeCell ref="A18:E18"/>
    <mergeCell ref="F38:G38"/>
    <mergeCell ref="A67:I67"/>
    <mergeCell ref="F32:G32"/>
    <mergeCell ref="F19:G19"/>
    <mergeCell ref="A19:E19"/>
    <mergeCell ref="A57:I57"/>
    <mergeCell ref="H23:I23"/>
    <mergeCell ref="A21:I21"/>
    <mergeCell ref="F17:G17"/>
    <mergeCell ref="H17:I17"/>
    <mergeCell ref="A261:I261"/>
    <mergeCell ref="F186:G186"/>
    <mergeCell ref="A34:I34"/>
    <mergeCell ref="A26:E26"/>
    <mergeCell ref="A31:E31"/>
    <mergeCell ref="F31:G31"/>
    <mergeCell ref="A38:E38"/>
    <mergeCell ref="A80:I80"/>
    <mergeCell ref="B77:H77"/>
    <mergeCell ref="B64:H64"/>
    <mergeCell ref="B74:H74"/>
    <mergeCell ref="B75:H75"/>
    <mergeCell ref="H33:I33"/>
    <mergeCell ref="H31:I31"/>
    <mergeCell ref="B78:H78"/>
    <mergeCell ref="E210:F210"/>
    <mergeCell ref="C204:D204"/>
    <mergeCell ref="B86:H86"/>
    <mergeCell ref="B85:H85"/>
    <mergeCell ref="H35:I35"/>
    <mergeCell ref="F22:G22"/>
    <mergeCell ref="F23:G23"/>
    <mergeCell ref="B87:H87"/>
    <mergeCell ref="B88:H88"/>
    <mergeCell ref="A103:G103"/>
    <mergeCell ref="B95:G95"/>
    <mergeCell ref="A89:H89"/>
    <mergeCell ref="A83:I83"/>
    <mergeCell ref="B84:H84"/>
    <mergeCell ref="A93:I93"/>
    <mergeCell ref="B102:G102"/>
    <mergeCell ref="B101:C101"/>
    <mergeCell ref="B52:G52"/>
    <mergeCell ref="A81:I81"/>
    <mergeCell ref="A82:I82"/>
    <mergeCell ref="A91:I91"/>
    <mergeCell ref="B53:G53"/>
    <mergeCell ref="A27:E27"/>
    <mergeCell ref="F27:G27"/>
    <mergeCell ref="B76:H76"/>
    <mergeCell ref="B70:G70"/>
    <mergeCell ref="A147:H147"/>
    <mergeCell ref="A107:I107"/>
    <mergeCell ref="A90:I90"/>
    <mergeCell ref="A105:I105"/>
    <mergeCell ref="A106:I106"/>
    <mergeCell ref="B96:G96"/>
    <mergeCell ref="B97:G97"/>
    <mergeCell ref="B98:G98"/>
    <mergeCell ref="B99:G99"/>
    <mergeCell ref="B100:G100"/>
    <mergeCell ref="B94:G94"/>
    <mergeCell ref="B108:H108"/>
    <mergeCell ref="A113:I113"/>
    <mergeCell ref="B132:H132"/>
    <mergeCell ref="A127:H127"/>
    <mergeCell ref="B121:H121"/>
    <mergeCell ref="B129:H129"/>
    <mergeCell ref="B122:H122"/>
    <mergeCell ref="B123:H123"/>
    <mergeCell ref="B124:H124"/>
    <mergeCell ref="B109:H109"/>
    <mergeCell ref="A110:H110"/>
    <mergeCell ref="B126:H126"/>
    <mergeCell ref="B130:H130"/>
    <mergeCell ref="H10:I10"/>
    <mergeCell ref="B141:H141"/>
    <mergeCell ref="A128:I128"/>
    <mergeCell ref="B144:H144"/>
    <mergeCell ref="A136:H136"/>
    <mergeCell ref="C167:I167"/>
    <mergeCell ref="A166:G166"/>
    <mergeCell ref="A167:B169"/>
    <mergeCell ref="C168:I168"/>
    <mergeCell ref="C169:I169"/>
    <mergeCell ref="B146:H146"/>
    <mergeCell ref="B157:G157"/>
    <mergeCell ref="A154:G154"/>
    <mergeCell ref="A165:I165"/>
    <mergeCell ref="B158:G158"/>
    <mergeCell ref="A164:H164"/>
    <mergeCell ref="B140:H140"/>
    <mergeCell ref="B142:H142"/>
    <mergeCell ref="B143:H143"/>
    <mergeCell ref="B131:H131"/>
    <mergeCell ref="B135:H135"/>
    <mergeCell ref="A138:H138"/>
    <mergeCell ref="A139:I139"/>
    <mergeCell ref="B137:H137"/>
    <mergeCell ref="A13:E13"/>
    <mergeCell ref="F13:G13"/>
    <mergeCell ref="A14:E14"/>
    <mergeCell ref="F14:G14"/>
    <mergeCell ref="F5:I5"/>
    <mergeCell ref="H15:I15"/>
    <mergeCell ref="B115:H115"/>
    <mergeCell ref="B117:H117"/>
    <mergeCell ref="B145:H145"/>
    <mergeCell ref="A119:I119"/>
    <mergeCell ref="B120:H120"/>
    <mergeCell ref="B125:H125"/>
    <mergeCell ref="B133:H133"/>
    <mergeCell ref="A118:H118"/>
    <mergeCell ref="B116:H116"/>
    <mergeCell ref="B134:H134"/>
    <mergeCell ref="A7:I7"/>
    <mergeCell ref="B8:G8"/>
    <mergeCell ref="H8:I8"/>
    <mergeCell ref="B11:G11"/>
    <mergeCell ref="H11:I11"/>
    <mergeCell ref="B9:G9"/>
    <mergeCell ref="H9:I9"/>
    <mergeCell ref="B10:G10"/>
    <mergeCell ref="A172:I172"/>
    <mergeCell ref="A148:I148"/>
    <mergeCell ref="B149:G149"/>
    <mergeCell ref="B151:G151"/>
    <mergeCell ref="A150:G150"/>
    <mergeCell ref="A152:G152"/>
    <mergeCell ref="B163:G163"/>
    <mergeCell ref="A171:I171"/>
    <mergeCell ref="A170:I170"/>
    <mergeCell ref="B160:G160"/>
    <mergeCell ref="B156:G156"/>
    <mergeCell ref="B153:G153"/>
    <mergeCell ref="B159:G159"/>
    <mergeCell ref="B155:G155"/>
    <mergeCell ref="B162:G162"/>
    <mergeCell ref="B161:G161"/>
    <mergeCell ref="A174:H174"/>
    <mergeCell ref="A173:I173"/>
    <mergeCell ref="A183:I183"/>
    <mergeCell ref="F185:G185"/>
    <mergeCell ref="A192:H192"/>
    <mergeCell ref="A193:H193"/>
    <mergeCell ref="A194:H194"/>
    <mergeCell ref="B175:H175"/>
    <mergeCell ref="D262:E262"/>
    <mergeCell ref="H262:I262"/>
    <mergeCell ref="A186:B186"/>
    <mergeCell ref="A187:B187"/>
    <mergeCell ref="A200:I200"/>
    <mergeCell ref="E206:F206"/>
    <mergeCell ref="A248:B248"/>
    <mergeCell ref="C248:D248"/>
    <mergeCell ref="E248:F248"/>
    <mergeCell ref="G248:I248"/>
    <mergeCell ref="A249:F249"/>
    <mergeCell ref="A233:F233"/>
    <mergeCell ref="G232:I232"/>
    <mergeCell ref="A230:B230"/>
    <mergeCell ref="C231:D231"/>
    <mergeCell ref="E231:F231"/>
    <mergeCell ref="H337:I337"/>
    <mergeCell ref="A330:I330"/>
    <mergeCell ref="A335:G335"/>
    <mergeCell ref="G296:I296"/>
    <mergeCell ref="G297:I297"/>
    <mergeCell ref="A326:G327"/>
    <mergeCell ref="D297:E297"/>
    <mergeCell ref="H328:I328"/>
    <mergeCell ref="A301:E301"/>
    <mergeCell ref="A300:C300"/>
    <mergeCell ref="H326:I327"/>
    <mergeCell ref="A333:I333"/>
    <mergeCell ref="H334:I334"/>
    <mergeCell ref="A334:G334"/>
    <mergeCell ref="A331:I332"/>
    <mergeCell ref="H329:I329"/>
    <mergeCell ref="A298:C298"/>
    <mergeCell ref="D298:E298"/>
    <mergeCell ref="D296:E296"/>
    <mergeCell ref="G299:I299"/>
    <mergeCell ref="G301:I301"/>
    <mergeCell ref="A296:C296"/>
    <mergeCell ref="D300:E300"/>
    <mergeCell ref="D299:E299"/>
    <mergeCell ref="H336:I336"/>
    <mergeCell ref="G289:I289"/>
    <mergeCell ref="G290:I290"/>
    <mergeCell ref="G295:I295"/>
    <mergeCell ref="A328:G328"/>
    <mergeCell ref="A329:G329"/>
    <mergeCell ref="A297:C297"/>
    <mergeCell ref="G300:I300"/>
    <mergeCell ref="G315:I315"/>
    <mergeCell ref="H335:I335"/>
    <mergeCell ref="A294:I294"/>
    <mergeCell ref="A292:C292"/>
    <mergeCell ref="D292:E292"/>
    <mergeCell ref="A293:E293"/>
    <mergeCell ref="A295:C295"/>
    <mergeCell ref="D295:E295"/>
    <mergeCell ref="G291:I291"/>
    <mergeCell ref="G292:I292"/>
    <mergeCell ref="A291:C291"/>
    <mergeCell ref="D291:E291"/>
    <mergeCell ref="A289:C289"/>
    <mergeCell ref="D289:E289"/>
    <mergeCell ref="A290:C290"/>
    <mergeCell ref="D290:E290"/>
    <mergeCell ref="G279:I279"/>
    <mergeCell ref="G293:I293"/>
    <mergeCell ref="A302:I302"/>
    <mergeCell ref="A299:C299"/>
    <mergeCell ref="G298:I298"/>
    <mergeCell ref="D286:E286"/>
    <mergeCell ref="A284:I285"/>
    <mergeCell ref="G278:I278"/>
    <mergeCell ref="A278:B278"/>
    <mergeCell ref="C278:D278"/>
    <mergeCell ref="G280:I280"/>
    <mergeCell ref="A280:B280"/>
    <mergeCell ref="C280:D280"/>
    <mergeCell ref="A279:B279"/>
    <mergeCell ref="C279:D279"/>
    <mergeCell ref="A288:C288"/>
    <mergeCell ref="D288:E288"/>
    <mergeCell ref="G287:I287"/>
    <mergeCell ref="G288:I288"/>
    <mergeCell ref="A286:C286"/>
    <mergeCell ref="E279:F279"/>
    <mergeCell ref="A281:F281"/>
    <mergeCell ref="E278:F278"/>
  </mergeCells>
  <phoneticPr fontId="0" type="noConversion"/>
  <pageMargins left="0.78740157480314965" right="0.31496062992125984" top="0.43307086614173229" bottom="0.31496062992125984" header="3.937007874015748E-2" footer="3.937007874015748E-2"/>
  <pageSetup paperSize="9" scale="75" orientation="portrait" horizontalDpi="1200" r:id="rId1"/>
  <headerFooter alignWithMargins="0"/>
  <rowBreaks count="7" manualBreakCount="7">
    <brk id="56" max="8" man="1"/>
    <brk id="105" max="8" man="1"/>
    <brk id="147" max="8" man="1"/>
    <brk id="198" max="8" man="1"/>
    <brk id="249" max="8" man="1"/>
    <brk id="283" max="8" man="1"/>
    <brk id="338" max="7" man="1"/>
  </rowBreaks>
  <legacyDrawing r:id="rId2"/>
</worksheet>
</file>

<file path=xl/worksheets/sheet6.xml><?xml version="1.0" encoding="utf-8"?>
<worksheet xmlns="http://schemas.openxmlformats.org/spreadsheetml/2006/main" xmlns:r="http://schemas.openxmlformats.org/officeDocument/2006/relationships">
  <sheetPr>
    <tabColor rgb="FFFFC000"/>
  </sheetPr>
  <dimension ref="A2:S355"/>
  <sheetViews>
    <sheetView showGridLines="0" tabSelected="1" topLeftCell="A158" zoomScaleNormal="100" zoomScaleSheetLayoutView="130" workbookViewId="0">
      <selection activeCell="M176" sqref="M176"/>
    </sheetView>
  </sheetViews>
  <sheetFormatPr defaultRowHeight="12.75"/>
  <cols>
    <col min="1" max="1" width="1.7109375" customWidth="1"/>
    <col min="2" max="2" width="15.28515625" style="1" customWidth="1"/>
    <col min="3" max="3" width="13.42578125" style="1" customWidth="1"/>
    <col min="4" max="4" width="14" style="1" customWidth="1"/>
    <col min="5" max="5" width="15.42578125" style="1" customWidth="1"/>
    <col min="6" max="6" width="17.7109375" style="1" customWidth="1"/>
    <col min="7" max="7" width="11.28515625" style="1" customWidth="1"/>
    <col min="8" max="8" width="13.28515625" style="1" customWidth="1"/>
    <col min="9" max="9" width="12.42578125" style="1" customWidth="1"/>
    <col min="10" max="10" width="13.85546875" style="213" customWidth="1"/>
    <col min="11" max="11" width="1.7109375" customWidth="1"/>
    <col min="12" max="13" width="11.7109375" customWidth="1"/>
    <col min="14" max="14" width="10.140625" bestFit="1" customWidth="1"/>
  </cols>
  <sheetData>
    <row r="2" spans="2:10" ht="30.75">
      <c r="B2" s="1145" t="s">
        <v>552</v>
      </c>
      <c r="C2" s="1146"/>
      <c r="D2" s="1146"/>
      <c r="E2" s="1146"/>
      <c r="F2" s="1146"/>
      <c r="G2" s="1146"/>
      <c r="H2" s="1146"/>
      <c r="I2" s="1146"/>
      <c r="J2" s="1147"/>
    </row>
    <row r="3" spans="2:10" ht="23.25">
      <c r="B3" s="1138" t="s">
        <v>646</v>
      </c>
      <c r="C3" s="1139"/>
      <c r="D3" s="1139"/>
      <c r="E3" s="1139"/>
      <c r="F3" s="1139"/>
      <c r="G3" s="1139"/>
      <c r="H3" s="1139"/>
      <c r="I3" s="1139"/>
      <c r="J3" s="1140"/>
    </row>
    <row r="4" spans="2:10" s="241" customFormat="1" ht="15.75">
      <c r="B4" s="242" t="s">
        <v>513</v>
      </c>
      <c r="C4" s="240"/>
      <c r="D4" s="240"/>
      <c r="E4" s="244" t="s">
        <v>514</v>
      </c>
      <c r="F4" s="240"/>
      <c r="G4" s="240"/>
      <c r="H4" s="240"/>
      <c r="I4" s="240"/>
      <c r="J4" s="243"/>
    </row>
    <row r="5" spans="2:10" s="245" customFormat="1" ht="15.75">
      <c r="B5" s="246" t="s">
        <v>509</v>
      </c>
      <c r="C5" s="247"/>
      <c r="D5" s="248"/>
      <c r="E5" s="249" t="s">
        <v>642</v>
      </c>
      <c r="F5" s="247"/>
      <c r="G5" s="247"/>
      <c r="H5" s="247"/>
      <c r="I5" s="247"/>
      <c r="J5" s="250"/>
    </row>
    <row r="6" spans="2:10" s="241" customFormat="1" ht="15.75">
      <c r="B6" s="242" t="s">
        <v>510</v>
      </c>
      <c r="C6" s="240"/>
      <c r="D6" s="251"/>
      <c r="E6" s="252" t="s">
        <v>512</v>
      </c>
      <c r="F6" s="253" t="s">
        <v>511</v>
      </c>
      <c r="G6" s="240"/>
      <c r="H6" s="240"/>
      <c r="I6" s="240"/>
      <c r="J6" s="243"/>
    </row>
    <row r="7" spans="2:10" s="241" customFormat="1" ht="26.25">
      <c r="B7" s="254" t="s">
        <v>553</v>
      </c>
      <c r="C7" s="255"/>
      <c r="D7" s="255"/>
      <c r="E7" s="1141" t="s">
        <v>643</v>
      </c>
      <c r="F7" s="1141"/>
      <c r="G7" s="255"/>
      <c r="H7" s="255"/>
      <c r="I7" s="255"/>
      <c r="J7" s="256"/>
    </row>
    <row r="8" spans="2:10" ht="12.75" customHeight="1">
      <c r="B8" s="1151" t="s">
        <v>296</v>
      </c>
      <c r="C8" s="1152"/>
      <c r="D8" s="1152"/>
      <c r="E8" s="1153" t="s">
        <v>644</v>
      </c>
      <c r="F8" s="1153"/>
      <c r="G8" s="1153"/>
      <c r="H8" s="1153"/>
      <c r="I8" s="1153"/>
      <c r="J8" s="1154"/>
    </row>
    <row r="9" spans="2:10" ht="12.75" customHeight="1">
      <c r="B9" s="1107" t="s">
        <v>297</v>
      </c>
      <c r="C9" s="1064"/>
      <c r="D9" s="1064"/>
      <c r="E9" s="1155" t="s">
        <v>645</v>
      </c>
      <c r="F9" s="1155"/>
      <c r="G9" s="1155"/>
      <c r="H9" s="1155"/>
      <c r="I9" s="1155"/>
      <c r="J9" s="1156"/>
    </row>
    <row r="10" spans="2:10" ht="12.75" customHeight="1">
      <c r="B10" s="1107" t="s">
        <v>515</v>
      </c>
      <c r="C10" s="1064"/>
      <c r="D10" s="1064"/>
      <c r="E10" s="1064" t="s">
        <v>516</v>
      </c>
      <c r="F10" s="1064"/>
      <c r="G10" s="1064"/>
      <c r="H10" s="1064"/>
      <c r="I10" s="1064"/>
      <c r="J10" s="1108"/>
    </row>
    <row r="11" spans="2:10" ht="15">
      <c r="B11" s="1150" t="s">
        <v>258</v>
      </c>
      <c r="C11" s="1150"/>
      <c r="D11" s="1150"/>
      <c r="E11" s="1150"/>
      <c r="F11" s="1150"/>
      <c r="G11" s="1150"/>
      <c r="H11" s="1150"/>
      <c r="I11" s="1150"/>
      <c r="J11" s="1150"/>
    </row>
    <row r="12" spans="2:10">
      <c r="B12" s="127" t="s">
        <v>259</v>
      </c>
      <c r="C12" s="1082" t="s">
        <v>260</v>
      </c>
      <c r="D12" s="1082"/>
      <c r="E12" s="1082"/>
      <c r="F12" s="1082"/>
      <c r="G12" s="1082"/>
      <c r="H12" s="1082"/>
      <c r="I12" s="1148" t="s">
        <v>554</v>
      </c>
      <c r="J12" s="1148"/>
    </row>
    <row r="13" spans="2:10">
      <c r="B13" s="127" t="s">
        <v>261</v>
      </c>
      <c r="C13" s="1082" t="s">
        <v>479</v>
      </c>
      <c r="D13" s="1082"/>
      <c r="E13" s="1082"/>
      <c r="F13" s="1082"/>
      <c r="G13" s="1082"/>
      <c r="H13" s="1082"/>
      <c r="I13" s="1149" t="s">
        <v>555</v>
      </c>
      <c r="J13" s="1149"/>
    </row>
    <row r="14" spans="2:10" ht="53.25" customHeight="1">
      <c r="B14" s="127" t="s">
        <v>263</v>
      </c>
      <c r="C14" s="1082" t="s">
        <v>352</v>
      </c>
      <c r="D14" s="1082"/>
      <c r="E14" s="1082"/>
      <c r="F14" s="1082"/>
      <c r="G14" s="1082"/>
      <c r="H14" s="1082"/>
      <c r="I14" s="1149"/>
      <c r="J14" s="1149"/>
    </row>
    <row r="15" spans="2:10">
      <c r="B15" s="127" t="s">
        <v>264</v>
      </c>
      <c r="C15" s="1082" t="s">
        <v>265</v>
      </c>
      <c r="D15" s="1082"/>
      <c r="E15" s="1082"/>
      <c r="F15" s="1082"/>
      <c r="G15" s="1082"/>
      <c r="H15" s="1082"/>
      <c r="I15" s="1149">
        <v>12</v>
      </c>
      <c r="J15" s="1149"/>
    </row>
    <row r="16" spans="2:10" ht="15">
      <c r="B16" s="1135" t="s">
        <v>443</v>
      </c>
      <c r="C16" s="1135"/>
      <c r="D16" s="1135"/>
      <c r="E16" s="1135"/>
      <c r="F16" s="1135"/>
      <c r="G16" s="1135"/>
      <c r="H16" s="1135"/>
      <c r="I16" s="1135"/>
      <c r="J16" s="1135"/>
    </row>
    <row r="17" spans="2:10" ht="26.25" customHeight="1">
      <c r="B17" s="1136" t="s">
        <v>444</v>
      </c>
      <c r="C17" s="1136"/>
      <c r="D17" s="1136"/>
      <c r="E17" s="1136"/>
      <c r="F17" s="1136"/>
      <c r="G17" s="904" t="s">
        <v>484</v>
      </c>
      <c r="H17" s="904"/>
      <c r="I17" s="1137" t="s">
        <v>267</v>
      </c>
      <c r="J17" s="1137"/>
    </row>
    <row r="18" spans="2:10" hidden="1">
      <c r="B18" s="1130" t="s">
        <v>167</v>
      </c>
      <c r="C18" s="1130"/>
      <c r="D18" s="1130"/>
      <c r="E18" s="1130"/>
      <c r="F18" s="1130"/>
      <c r="G18" s="1132" t="s">
        <v>268</v>
      </c>
      <c r="H18" s="1133"/>
      <c r="I18" s="1134"/>
      <c r="J18" s="1134"/>
    </row>
    <row r="19" spans="2:10">
      <c r="B19" s="1130" t="s">
        <v>168</v>
      </c>
      <c r="C19" s="1130"/>
      <c r="D19" s="1130"/>
      <c r="E19" s="1130"/>
      <c r="F19" s="1130"/>
      <c r="G19" s="1132" t="s">
        <v>268</v>
      </c>
      <c r="H19" s="1133"/>
      <c r="I19" s="1134">
        <v>2874.36</v>
      </c>
      <c r="J19" s="1134"/>
    </row>
    <row r="20" spans="2:10" hidden="1">
      <c r="B20" s="1130" t="s">
        <v>169</v>
      </c>
      <c r="C20" s="1130"/>
      <c r="D20" s="1130"/>
      <c r="E20" s="1130"/>
      <c r="F20" s="1130"/>
      <c r="G20" s="1132" t="s">
        <v>268</v>
      </c>
      <c r="H20" s="1133"/>
      <c r="I20" s="1134"/>
      <c r="J20" s="1134"/>
    </row>
    <row r="21" spans="2:10">
      <c r="B21" s="1130" t="s">
        <v>170</v>
      </c>
      <c r="C21" s="1130"/>
      <c r="D21" s="1130"/>
      <c r="E21" s="1130"/>
      <c r="F21" s="1130"/>
      <c r="G21" s="1132" t="s">
        <v>268</v>
      </c>
      <c r="H21" s="1133"/>
      <c r="I21" s="1134">
        <v>34.75</v>
      </c>
      <c r="J21" s="1134"/>
    </row>
    <row r="22" spans="2:10" hidden="1">
      <c r="B22" s="1130" t="s">
        <v>171</v>
      </c>
      <c r="C22" s="1130"/>
      <c r="D22" s="1130"/>
      <c r="E22" s="1130"/>
      <c r="F22" s="1130"/>
      <c r="G22" s="1132" t="s">
        <v>268</v>
      </c>
      <c r="H22" s="1133"/>
      <c r="I22" s="1134"/>
      <c r="J22" s="1134"/>
    </row>
    <row r="23" spans="2:10">
      <c r="B23" s="1130" t="s">
        <v>172</v>
      </c>
      <c r="C23" s="1130"/>
      <c r="D23" s="1130"/>
      <c r="E23" s="1130"/>
      <c r="F23" s="1130"/>
      <c r="G23" s="1132" t="s">
        <v>268</v>
      </c>
      <c r="H23" s="1133"/>
      <c r="I23" s="1134">
        <v>175.84</v>
      </c>
      <c r="J23" s="1134"/>
    </row>
    <row r="24" spans="2:10">
      <c r="B24" s="1122" t="s">
        <v>173</v>
      </c>
      <c r="C24" s="1122"/>
      <c r="D24" s="1122"/>
      <c r="E24" s="1122"/>
      <c r="F24" s="1122"/>
      <c r="G24" s="1122"/>
      <c r="H24" s="1122"/>
      <c r="I24" s="923">
        <f>ROUND(SUM(I19:J23),2)</f>
        <v>3084.95</v>
      </c>
      <c r="J24" s="923"/>
    </row>
    <row r="25" spans="2:10">
      <c r="B25" s="1097"/>
      <c r="C25" s="1097"/>
      <c r="D25" s="1097"/>
      <c r="E25" s="1097"/>
      <c r="F25" s="1097"/>
      <c r="G25" s="1097"/>
      <c r="H25" s="1097"/>
      <c r="I25" s="1097"/>
      <c r="J25" s="1097"/>
    </row>
    <row r="26" spans="2:10">
      <c r="B26" s="1130" t="s">
        <v>174</v>
      </c>
      <c r="C26" s="1130"/>
      <c r="D26" s="1130"/>
      <c r="E26" s="1130"/>
      <c r="F26" s="1130"/>
      <c r="G26" s="1129" t="s">
        <v>268</v>
      </c>
      <c r="H26" s="1129"/>
      <c r="I26" s="926">
        <v>151.9</v>
      </c>
      <c r="J26" s="926"/>
    </row>
    <row r="27" spans="2:10" hidden="1">
      <c r="B27" s="1130" t="s">
        <v>175</v>
      </c>
      <c r="C27" s="1130"/>
      <c r="D27" s="1130"/>
      <c r="E27" s="1130"/>
      <c r="F27" s="1130"/>
      <c r="G27" s="1129" t="s">
        <v>268</v>
      </c>
      <c r="H27" s="1129"/>
      <c r="I27" s="926"/>
      <c r="J27" s="926"/>
    </row>
    <row r="28" spans="2:10" hidden="1">
      <c r="B28" s="1130" t="s">
        <v>176</v>
      </c>
      <c r="C28" s="1130"/>
      <c r="D28" s="1130"/>
      <c r="E28" s="1130"/>
      <c r="F28" s="1130"/>
      <c r="G28" s="1129" t="s">
        <v>268</v>
      </c>
      <c r="H28" s="1129"/>
      <c r="I28" s="926"/>
      <c r="J28" s="926"/>
    </row>
    <row r="29" spans="2:10" hidden="1">
      <c r="B29" s="1130" t="s">
        <v>177</v>
      </c>
      <c r="C29" s="1130"/>
      <c r="D29" s="1130"/>
      <c r="E29" s="1130"/>
      <c r="F29" s="1130"/>
      <c r="G29" s="1129" t="s">
        <v>268</v>
      </c>
      <c r="H29" s="1129"/>
      <c r="I29" s="926"/>
      <c r="J29" s="926"/>
    </row>
    <row r="30" spans="2:10" hidden="1">
      <c r="B30" s="1130" t="s">
        <v>178</v>
      </c>
      <c r="C30" s="1130"/>
      <c r="D30" s="1130"/>
      <c r="E30" s="1130"/>
      <c r="F30" s="1130"/>
      <c r="G30" s="1129" t="s">
        <v>268</v>
      </c>
      <c r="H30" s="1129"/>
      <c r="I30" s="926"/>
      <c r="J30" s="926"/>
    </row>
    <row r="31" spans="2:10" hidden="1">
      <c r="B31" s="1130" t="s">
        <v>179</v>
      </c>
      <c r="C31" s="1130"/>
      <c r="D31" s="1130"/>
      <c r="E31" s="1130"/>
      <c r="F31" s="1130"/>
      <c r="G31" s="1129" t="s">
        <v>268</v>
      </c>
      <c r="H31" s="1129"/>
      <c r="I31" s="926"/>
      <c r="J31" s="926"/>
    </row>
    <row r="32" spans="2:10">
      <c r="B32" s="1122" t="s">
        <v>180</v>
      </c>
      <c r="C32" s="1122"/>
      <c r="D32" s="1122"/>
      <c r="E32" s="1122"/>
      <c r="F32" s="1122"/>
      <c r="G32" s="1122"/>
      <c r="H32" s="1122"/>
      <c r="I32" s="923">
        <f>ROUND(SUM(I26:J31),2)</f>
        <v>151.9</v>
      </c>
      <c r="J32" s="923"/>
    </row>
    <row r="33" spans="2:10">
      <c r="B33" s="1097"/>
      <c r="C33" s="1097"/>
      <c r="D33" s="1097"/>
      <c r="E33" s="1097"/>
      <c r="F33" s="1097"/>
      <c r="G33" s="1097"/>
      <c r="H33" s="1097"/>
      <c r="I33" s="1097"/>
      <c r="J33" s="1097"/>
    </row>
    <row r="34" spans="2:10">
      <c r="B34" s="1131" t="s">
        <v>181</v>
      </c>
      <c r="C34" s="1130"/>
      <c r="D34" s="1130"/>
      <c r="E34" s="1130"/>
      <c r="F34" s="1130"/>
      <c r="G34" s="1129" t="s">
        <v>268</v>
      </c>
      <c r="H34" s="1129"/>
      <c r="I34" s="926">
        <v>425.09000000000003</v>
      </c>
      <c r="J34" s="926"/>
    </row>
    <row r="35" spans="2:10">
      <c r="B35" s="1130" t="s">
        <v>182</v>
      </c>
      <c r="C35" s="1130"/>
      <c r="D35" s="1130"/>
      <c r="E35" s="1130"/>
      <c r="F35" s="1130"/>
      <c r="G35" s="1129" t="s">
        <v>268</v>
      </c>
      <c r="H35" s="1129"/>
      <c r="I35" s="926">
        <v>79.91</v>
      </c>
      <c r="J35" s="926"/>
    </row>
    <row r="36" spans="2:10">
      <c r="B36" s="1130" t="s">
        <v>183</v>
      </c>
      <c r="C36" s="1130"/>
      <c r="D36" s="1130"/>
      <c r="E36" s="1130"/>
      <c r="F36" s="1130"/>
      <c r="G36" s="1129" t="s">
        <v>268</v>
      </c>
      <c r="H36" s="1129"/>
      <c r="I36" s="926">
        <v>658.91000000000008</v>
      </c>
      <c r="J36" s="926"/>
    </row>
    <row r="37" spans="2:10">
      <c r="B37" s="1128" t="s">
        <v>216</v>
      </c>
      <c r="C37" s="1128"/>
      <c r="D37" s="1128"/>
      <c r="E37" s="1128"/>
      <c r="F37" s="1128"/>
      <c r="G37" s="1128"/>
      <c r="H37" s="1128"/>
      <c r="I37" s="923">
        <f>ROUND(SUM(I34:J36),2)</f>
        <v>1163.9100000000001</v>
      </c>
      <c r="J37" s="923"/>
    </row>
    <row r="38" spans="2:10">
      <c r="B38" s="1121"/>
      <c r="C38" s="1121"/>
      <c r="D38" s="1121"/>
      <c r="E38" s="1121"/>
      <c r="F38" s="1121"/>
      <c r="G38" s="1121"/>
      <c r="H38" s="1121"/>
      <c r="I38" s="1121"/>
      <c r="J38" s="1121"/>
    </row>
    <row r="39" spans="2:10" hidden="1">
      <c r="B39" s="1125" t="s">
        <v>214</v>
      </c>
      <c r="C39" s="1125"/>
      <c r="D39" s="1125"/>
      <c r="E39" s="1125"/>
      <c r="F39" s="1125"/>
      <c r="G39" s="1129" t="s">
        <v>268</v>
      </c>
      <c r="H39" s="1129"/>
      <c r="I39" s="926"/>
      <c r="J39" s="926"/>
    </row>
    <row r="40" spans="2:10" hidden="1">
      <c r="B40" s="1124" t="s">
        <v>215</v>
      </c>
      <c r="C40" s="1124"/>
      <c r="D40" s="1124"/>
      <c r="E40" s="1124"/>
      <c r="F40" s="1124"/>
      <c r="G40" s="1124"/>
      <c r="H40" s="1124"/>
      <c r="I40" s="923">
        <f>I39</f>
        <v>0</v>
      </c>
      <c r="J40" s="923"/>
    </row>
    <row r="41" spans="2:10" hidden="1">
      <c r="B41" s="1114"/>
      <c r="C41" s="1114"/>
      <c r="D41" s="1114"/>
      <c r="E41" s="1114"/>
      <c r="F41" s="1114"/>
      <c r="G41" s="1114"/>
      <c r="H41" s="1114"/>
      <c r="I41" s="1114"/>
      <c r="J41" s="1114"/>
    </row>
    <row r="42" spans="2:10" hidden="1">
      <c r="B42" s="1125" t="s">
        <v>184</v>
      </c>
      <c r="C42" s="1125"/>
      <c r="D42" s="1125"/>
      <c r="E42" s="1125"/>
      <c r="F42" s="1125"/>
      <c r="G42" s="1126" t="s">
        <v>268</v>
      </c>
      <c r="H42" s="1126"/>
      <c r="I42" s="1127"/>
      <c r="J42" s="1127"/>
    </row>
    <row r="43" spans="2:10" hidden="1">
      <c r="B43" s="903" t="s">
        <v>91</v>
      </c>
      <c r="C43" s="903"/>
      <c r="D43" s="903"/>
      <c r="E43" s="903"/>
      <c r="F43" s="903"/>
      <c r="G43" s="903"/>
      <c r="H43" s="903"/>
      <c r="I43" s="923">
        <v>0</v>
      </c>
      <c r="J43" s="923"/>
    </row>
    <row r="44" spans="2:10" hidden="1">
      <c r="B44" s="1121"/>
      <c r="C44" s="1121"/>
      <c r="D44" s="1121"/>
      <c r="E44" s="1121"/>
      <c r="F44" s="1121"/>
      <c r="G44" s="1121"/>
      <c r="H44" s="1121"/>
      <c r="I44" s="1121"/>
      <c r="J44" s="1121"/>
    </row>
    <row r="45" spans="2:10">
      <c r="B45" s="1122" t="s">
        <v>269</v>
      </c>
      <c r="C45" s="1122"/>
      <c r="D45" s="1122"/>
      <c r="E45" s="1122"/>
      <c r="F45" s="1122"/>
      <c r="G45" s="1122"/>
      <c r="H45" s="1122"/>
      <c r="I45" s="1123">
        <f>ROUND(I24+I32+I37+I40+I43,2)</f>
        <v>4400.76</v>
      </c>
      <c r="J45" s="1123"/>
    </row>
    <row r="46" spans="2:10">
      <c r="B46" s="1099"/>
      <c r="C46" s="1099"/>
      <c r="D46" s="1099"/>
      <c r="E46" s="1099"/>
      <c r="F46" s="1099"/>
      <c r="G46" s="1099"/>
      <c r="H46" s="1099"/>
      <c r="I46" s="1099"/>
      <c r="J46" s="1099"/>
    </row>
    <row r="47" spans="2:10">
      <c r="B47" s="1120" t="s">
        <v>354</v>
      </c>
      <c r="C47" s="1120"/>
      <c r="D47" s="1120"/>
      <c r="E47" s="1120"/>
      <c r="F47" s="1120"/>
      <c r="G47" s="1120"/>
      <c r="H47" s="1120"/>
      <c r="I47" s="1120"/>
      <c r="J47" s="1120"/>
    </row>
    <row r="48" spans="2:10">
      <c r="B48" s="1099"/>
      <c r="C48" s="1099"/>
      <c r="D48" s="1099"/>
      <c r="E48" s="1099"/>
      <c r="F48" s="1099"/>
      <c r="G48" s="1099"/>
      <c r="H48" s="1099"/>
      <c r="I48" s="1099"/>
      <c r="J48" s="1099"/>
    </row>
    <row r="49" spans="2:12" ht="15">
      <c r="B49" s="1089" t="s">
        <v>447</v>
      </c>
      <c r="C49" s="1089"/>
      <c r="D49" s="1089"/>
      <c r="E49" s="1089"/>
      <c r="F49" s="1089"/>
      <c r="G49" s="1089"/>
      <c r="H49" s="1089"/>
      <c r="I49" s="1089"/>
      <c r="J49" s="1089"/>
    </row>
    <row r="50" spans="2:12" ht="15">
      <c r="B50" s="1083" t="s">
        <v>161</v>
      </c>
      <c r="C50" s="1083"/>
      <c r="D50" s="1083"/>
      <c r="E50" s="1083"/>
      <c r="F50" s="1083"/>
      <c r="G50" s="1083"/>
      <c r="H50" s="1083"/>
      <c r="I50" s="1083"/>
      <c r="J50" s="1083"/>
    </row>
    <row r="51" spans="2:12">
      <c r="B51" s="127">
        <v>1</v>
      </c>
      <c r="C51" s="1082" t="s">
        <v>270</v>
      </c>
      <c r="D51" s="1082"/>
      <c r="E51" s="1082"/>
      <c r="F51" s="1082"/>
      <c r="G51" s="1082"/>
      <c r="H51" s="1082"/>
      <c r="I51" s="1118" t="s">
        <v>271</v>
      </c>
      <c r="J51" s="1118"/>
    </row>
    <row r="52" spans="2:12" ht="12.75" customHeight="1">
      <c r="B52" s="127">
        <v>2</v>
      </c>
      <c r="C52" s="1107" t="s">
        <v>464</v>
      </c>
      <c r="D52" s="1064"/>
      <c r="E52" s="1064"/>
      <c r="F52" s="1119" t="s">
        <v>487</v>
      </c>
      <c r="G52" s="1119"/>
      <c r="H52" s="218">
        <v>44</v>
      </c>
      <c r="I52" s="1118"/>
      <c r="J52" s="1118"/>
    </row>
    <row r="53" spans="2:12" ht="15">
      <c r="B53" s="127">
        <v>3</v>
      </c>
      <c r="C53" s="1082" t="s">
        <v>448</v>
      </c>
      <c r="D53" s="1082"/>
      <c r="E53" s="1082"/>
      <c r="F53" s="1082"/>
      <c r="G53" s="1082"/>
      <c r="H53" s="1082"/>
      <c r="I53" s="1116" t="s">
        <v>340</v>
      </c>
      <c r="J53" s="1116"/>
      <c r="L53" s="217"/>
    </row>
    <row r="54" spans="2:12">
      <c r="B54" s="127">
        <v>4</v>
      </c>
      <c r="C54" s="1082" t="s">
        <v>125</v>
      </c>
      <c r="D54" s="1082"/>
      <c r="E54" s="1082"/>
      <c r="F54" s="1082"/>
      <c r="G54" s="1082"/>
      <c r="H54" s="1082"/>
      <c r="I54" s="1117" t="s">
        <v>635</v>
      </c>
      <c r="J54" s="1117"/>
    </row>
    <row r="55" spans="2:12">
      <c r="B55" s="1114"/>
      <c r="C55" s="1114"/>
      <c r="D55" s="1114"/>
      <c r="E55" s="1114"/>
      <c r="F55" s="1114"/>
      <c r="G55" s="1114"/>
      <c r="H55" s="1114"/>
      <c r="I55" s="1114"/>
      <c r="J55" s="1114"/>
    </row>
    <row r="56" spans="2:12" hidden="1">
      <c r="B56" s="1102" t="s">
        <v>449</v>
      </c>
      <c r="C56" s="1102"/>
      <c r="D56" s="1102"/>
      <c r="E56" s="1102"/>
      <c r="F56" s="1102"/>
      <c r="G56" s="1102"/>
      <c r="H56" s="1102"/>
      <c r="I56" s="1102"/>
      <c r="J56" s="1102"/>
    </row>
    <row r="57" spans="2:12" hidden="1">
      <c r="B57" s="1115"/>
      <c r="C57" s="1115"/>
      <c r="D57" s="1115"/>
      <c r="E57" s="1115"/>
      <c r="F57" s="1115"/>
      <c r="G57" s="1115"/>
      <c r="H57" s="1115"/>
      <c r="I57" s="1115"/>
      <c r="J57" s="1115"/>
    </row>
    <row r="58" spans="2:12">
      <c r="B58" s="1103" t="s">
        <v>298</v>
      </c>
      <c r="C58" s="1103"/>
      <c r="D58" s="1103"/>
      <c r="E58" s="1103"/>
      <c r="F58" s="1103"/>
      <c r="G58" s="1103"/>
      <c r="H58" s="1103"/>
      <c r="I58" s="1103"/>
      <c r="J58" s="1103"/>
    </row>
    <row r="59" spans="2:12" ht="25.5">
      <c r="B59" s="131">
        <v>1</v>
      </c>
      <c r="C59" s="1112" t="s">
        <v>355</v>
      </c>
      <c r="D59" s="1112"/>
      <c r="E59" s="1112"/>
      <c r="F59" s="1112"/>
      <c r="G59" s="1112"/>
      <c r="H59" s="1112"/>
      <c r="I59" s="132" t="s">
        <v>363</v>
      </c>
      <c r="J59" s="131" t="s">
        <v>450</v>
      </c>
    </row>
    <row r="60" spans="2:12">
      <c r="B60" s="127" t="s">
        <v>259</v>
      </c>
      <c r="C60" s="1082" t="s">
        <v>485</v>
      </c>
      <c r="D60" s="1082"/>
      <c r="E60" s="1082"/>
      <c r="F60" s="1082"/>
      <c r="G60" s="1082"/>
      <c r="H60" s="1082"/>
      <c r="I60" s="1082"/>
      <c r="J60" s="133">
        <f>ROUND(((H52/6)*30)*(I52/220),2)</f>
        <v>0</v>
      </c>
    </row>
    <row r="61" spans="2:12" ht="27" customHeight="1">
      <c r="B61" s="229" t="s">
        <v>261</v>
      </c>
      <c r="C61" s="1113" t="s">
        <v>488</v>
      </c>
      <c r="D61" s="1113"/>
      <c r="E61" s="1113"/>
      <c r="F61" s="1113"/>
      <c r="G61" s="1113"/>
      <c r="H61" s="1113"/>
      <c r="I61" s="134">
        <v>0.2</v>
      </c>
      <c r="J61" s="133">
        <f>ROUND(I61*J60,2)</f>
        <v>0</v>
      </c>
    </row>
    <row r="62" spans="2:12" ht="15">
      <c r="B62" s="1111" t="s">
        <v>452</v>
      </c>
      <c r="C62" s="1111"/>
      <c r="D62" s="1111"/>
      <c r="E62" s="1111"/>
      <c r="F62" s="1111"/>
      <c r="G62" s="1111"/>
      <c r="H62" s="1111"/>
      <c r="I62" s="1111"/>
      <c r="J62" s="135">
        <f>SUM(J60:J61)</f>
        <v>0</v>
      </c>
    </row>
    <row r="63" spans="2:12">
      <c r="B63" s="1080" t="s">
        <v>276</v>
      </c>
      <c r="C63" s="1080"/>
      <c r="D63" s="1080"/>
      <c r="E63" s="1080"/>
      <c r="F63" s="1080"/>
      <c r="G63" s="1080"/>
      <c r="H63" s="1080"/>
      <c r="I63" s="1080"/>
      <c r="J63" s="1080"/>
    </row>
    <row r="64" spans="2:12" ht="15">
      <c r="B64" s="137">
        <v>2</v>
      </c>
      <c r="C64" s="1083" t="s">
        <v>357</v>
      </c>
      <c r="D64" s="1083"/>
      <c r="E64" s="1083"/>
      <c r="F64" s="1083"/>
      <c r="G64" s="1083"/>
      <c r="H64" s="1083"/>
      <c r="I64" s="1083"/>
      <c r="J64" s="126" t="s">
        <v>127</v>
      </c>
    </row>
    <row r="65" spans="1:14" ht="27" customHeight="1">
      <c r="A65">
        <f>IF(ROUND((21*I66*I67)-(J60*0.06),2)&lt;0,0,ROUND((21*I66*I67)-(J60*0.06),2))*1+(I66*I67*21.726-0.06*J60)*0</f>
        <v>0</v>
      </c>
      <c r="B65" s="136" t="s">
        <v>259</v>
      </c>
      <c r="C65" s="1107" t="s">
        <v>636</v>
      </c>
      <c r="D65" s="1107"/>
      <c r="E65" s="1107"/>
      <c r="F65" s="1107"/>
      <c r="G65" s="1107"/>
      <c r="H65" s="1107"/>
      <c r="I65" s="1107"/>
      <c r="J65" s="138">
        <f>ROUND((22*I66*I67)-(J60*6%),2)</f>
        <v>0</v>
      </c>
      <c r="M65" s="217"/>
      <c r="N65" s="225"/>
    </row>
    <row r="66" spans="1:14" ht="24.75" customHeight="1">
      <c r="B66" s="136"/>
      <c r="C66" s="1109" t="s">
        <v>478</v>
      </c>
      <c r="D66" s="1109"/>
      <c r="E66" s="1109"/>
      <c r="F66" s="1109"/>
      <c r="G66" s="1109"/>
      <c r="H66" s="1109"/>
      <c r="I66" s="139"/>
      <c r="J66" s="230"/>
    </row>
    <row r="67" spans="1:14">
      <c r="B67" s="136"/>
      <c r="C67" s="1110" t="s">
        <v>335</v>
      </c>
      <c r="D67" s="1110"/>
      <c r="E67" s="1110"/>
      <c r="F67" s="1110"/>
      <c r="G67" s="1110"/>
      <c r="H67" s="1110"/>
      <c r="I67" s="233">
        <v>2</v>
      </c>
      <c r="J67" s="230"/>
    </row>
    <row r="68" spans="1:14" ht="28.5" customHeight="1">
      <c r="A68">
        <f>ROUND(21*I69*(1-0.175),2)*1+ROUND(21.726*6*(1-0.175),2)*0</f>
        <v>0</v>
      </c>
      <c r="B68" s="136" t="s">
        <v>261</v>
      </c>
      <c r="C68" s="1107" t="s">
        <v>641</v>
      </c>
      <c r="D68" s="1107"/>
      <c r="E68" s="1107"/>
      <c r="F68" s="1107"/>
      <c r="G68" s="1107"/>
      <c r="H68" s="1107"/>
      <c r="I68" s="1107"/>
      <c r="J68" s="138">
        <f>ROUND((I69*22)-((I69*22)*17.5%),2)</f>
        <v>0</v>
      </c>
    </row>
    <row r="69" spans="1:14">
      <c r="B69" s="136"/>
      <c r="C69" s="1109" t="s">
        <v>486</v>
      </c>
      <c r="D69" s="1109"/>
      <c r="E69" s="1109"/>
      <c r="F69" s="1109"/>
      <c r="G69" s="1109"/>
      <c r="H69" s="1109"/>
      <c r="I69" s="139"/>
      <c r="J69" s="230"/>
    </row>
    <row r="70" spans="1:14">
      <c r="B70" s="136" t="s">
        <v>263</v>
      </c>
      <c r="C70" s="1107" t="s">
        <v>277</v>
      </c>
      <c r="D70" s="1107"/>
      <c r="E70" s="1107"/>
      <c r="F70" s="1107"/>
      <c r="G70" s="1107"/>
      <c r="H70" s="1107"/>
      <c r="I70" s="1107"/>
      <c r="J70" s="138">
        <v>0</v>
      </c>
    </row>
    <row r="71" spans="1:14">
      <c r="B71" s="136" t="s">
        <v>264</v>
      </c>
      <c r="C71" s="1105" t="s">
        <v>299</v>
      </c>
      <c r="D71" s="1105"/>
      <c r="E71" s="1105"/>
      <c r="F71" s="1105"/>
      <c r="G71" s="1105"/>
      <c r="H71" s="1105"/>
      <c r="I71" s="1105"/>
      <c r="J71" s="129">
        <v>0</v>
      </c>
    </row>
    <row r="72" spans="1:14" ht="26.25" customHeight="1">
      <c r="B72" s="136" t="s">
        <v>272</v>
      </c>
      <c r="C72" s="1107" t="s">
        <v>638</v>
      </c>
      <c r="D72" s="1107"/>
      <c r="E72" s="1107"/>
      <c r="F72" s="1107"/>
      <c r="G72" s="1107"/>
      <c r="H72" s="1107"/>
      <c r="I72" s="1107"/>
      <c r="J72" s="138">
        <v>0</v>
      </c>
    </row>
    <row r="73" spans="1:14" ht="26.25" customHeight="1">
      <c r="B73" s="136" t="s">
        <v>273</v>
      </c>
      <c r="C73" s="1107" t="s">
        <v>639</v>
      </c>
      <c r="D73" s="1064"/>
      <c r="E73" s="1064"/>
      <c r="F73" s="1064"/>
      <c r="G73" s="1064"/>
      <c r="H73" s="1064"/>
      <c r="I73" s="1108"/>
      <c r="J73" s="138">
        <v>0</v>
      </c>
    </row>
    <row r="74" spans="1:14">
      <c r="B74" s="136" t="s">
        <v>274</v>
      </c>
      <c r="C74" s="1105" t="s">
        <v>126</v>
      </c>
      <c r="D74" s="1105"/>
      <c r="E74" s="1105"/>
      <c r="F74" s="1105"/>
      <c r="G74" s="1105"/>
      <c r="H74" s="1105"/>
      <c r="I74" s="1105"/>
      <c r="J74" s="129">
        <v>0</v>
      </c>
    </row>
    <row r="75" spans="1:14">
      <c r="B75" s="130"/>
      <c r="C75" s="1106" t="s">
        <v>358</v>
      </c>
      <c r="D75" s="1106"/>
      <c r="E75" s="1106"/>
      <c r="F75" s="1106"/>
      <c r="G75" s="1106"/>
      <c r="H75" s="1106"/>
      <c r="I75" s="1106"/>
      <c r="J75" s="142">
        <f>SUM(J65:J74)</f>
        <v>0</v>
      </c>
    </row>
    <row r="76" spans="1:14">
      <c r="B76" s="1099"/>
      <c r="C76" s="1099"/>
      <c r="D76" s="1099"/>
      <c r="E76" s="1099"/>
      <c r="F76" s="1099"/>
      <c r="G76" s="1099"/>
      <c r="H76" s="1099"/>
      <c r="I76" s="1099"/>
      <c r="J76" s="1099"/>
    </row>
    <row r="77" spans="1:14">
      <c r="B77" s="1091" t="s">
        <v>300</v>
      </c>
      <c r="C77" s="1091"/>
      <c r="D77" s="1091"/>
      <c r="E77" s="1091"/>
      <c r="F77" s="1091"/>
      <c r="G77" s="1091"/>
      <c r="H77" s="1091"/>
      <c r="I77" s="1091"/>
      <c r="J77" s="1091"/>
    </row>
    <row r="78" spans="1:14">
      <c r="B78" s="1097"/>
      <c r="C78" s="1097"/>
      <c r="D78" s="1097"/>
      <c r="E78" s="1097"/>
      <c r="F78" s="1097"/>
      <c r="G78" s="1097"/>
      <c r="H78" s="1097"/>
      <c r="I78" s="1097"/>
      <c r="J78" s="1097"/>
    </row>
    <row r="79" spans="1:14">
      <c r="B79" s="1104" t="s">
        <v>278</v>
      </c>
      <c r="C79" s="1104"/>
      <c r="D79" s="1104"/>
      <c r="E79" s="1104"/>
      <c r="F79" s="1104"/>
      <c r="G79" s="1104"/>
      <c r="H79" s="1104"/>
      <c r="I79" s="1104"/>
      <c r="J79" s="1104"/>
    </row>
    <row r="80" spans="1:14" ht="15">
      <c r="B80" s="137">
        <v>3</v>
      </c>
      <c r="C80" s="1083" t="s">
        <v>359</v>
      </c>
      <c r="D80" s="1083"/>
      <c r="E80" s="1083"/>
      <c r="F80" s="1083"/>
      <c r="G80" s="1083"/>
      <c r="H80" s="1083"/>
      <c r="I80" s="1083"/>
      <c r="J80" s="137" t="s">
        <v>127</v>
      </c>
    </row>
    <row r="81" spans="2:12" ht="15" customHeight="1">
      <c r="B81" s="136" t="s">
        <v>259</v>
      </c>
      <c r="C81" s="1082" t="s">
        <v>490</v>
      </c>
      <c r="D81" s="1082"/>
      <c r="E81" s="1082"/>
      <c r="F81" s="1082"/>
      <c r="G81" s="1082"/>
      <c r="H81" s="1082"/>
      <c r="I81" s="1082"/>
      <c r="J81" s="51">
        <f>Plan.Auxiliar!J26+Plan.Auxiliar!J40</f>
        <v>0</v>
      </c>
      <c r="K81" s="235"/>
      <c r="L81" s="225"/>
    </row>
    <row r="82" spans="2:12">
      <c r="B82" s="228" t="s">
        <v>261</v>
      </c>
      <c r="C82" s="1090" t="s">
        <v>491</v>
      </c>
      <c r="D82" s="1090"/>
      <c r="E82" s="1090"/>
      <c r="F82" s="1090"/>
      <c r="G82" s="1090"/>
      <c r="H82" s="1090"/>
      <c r="I82" s="1090"/>
      <c r="J82" s="221">
        <f>Plan.Auxiliar!J97</f>
        <v>0</v>
      </c>
      <c r="K82" s="220"/>
    </row>
    <row r="83" spans="2:12">
      <c r="B83" s="228" t="s">
        <v>263</v>
      </c>
      <c r="C83" s="1086" t="s">
        <v>327</v>
      </c>
      <c r="D83" s="1086"/>
      <c r="E83" s="1086"/>
      <c r="F83" s="1086"/>
      <c r="G83" s="1086"/>
      <c r="H83" s="1086"/>
      <c r="I83" s="1086"/>
      <c r="J83" s="221">
        <f>Plan.Auxiliar!J67</f>
        <v>0</v>
      </c>
      <c r="K83" s="220"/>
    </row>
    <row r="84" spans="2:12">
      <c r="B84" s="228" t="s">
        <v>264</v>
      </c>
      <c r="C84" s="1086" t="s">
        <v>489</v>
      </c>
      <c r="D84" s="1086"/>
      <c r="E84" s="1086"/>
      <c r="F84" s="1086"/>
      <c r="G84" s="1086"/>
      <c r="H84" s="1086"/>
      <c r="I84" s="1086"/>
      <c r="J84" s="221">
        <f>Plan.Auxiliar!J48</f>
        <v>0</v>
      </c>
      <c r="K84" s="220"/>
    </row>
    <row r="85" spans="2:12">
      <c r="B85" s="228" t="s">
        <v>272</v>
      </c>
      <c r="C85" s="1082" t="s">
        <v>126</v>
      </c>
      <c r="D85" s="1082"/>
      <c r="E85" s="1082"/>
      <c r="F85" s="1082"/>
      <c r="G85" s="1082"/>
      <c r="H85" s="1082"/>
      <c r="I85" s="1082"/>
      <c r="J85" s="221">
        <v>0</v>
      </c>
      <c r="K85" s="220"/>
    </row>
    <row r="86" spans="2:12">
      <c r="B86" s="1076" t="s">
        <v>360</v>
      </c>
      <c r="C86" s="1076"/>
      <c r="D86" s="1076"/>
      <c r="E86" s="1076"/>
      <c r="F86" s="1076"/>
      <c r="G86" s="1076"/>
      <c r="H86" s="1076"/>
      <c r="I86" s="1076"/>
      <c r="J86" s="54">
        <f>ROUND(SUM(J81:J85),2)</f>
        <v>0</v>
      </c>
      <c r="L86" s="216"/>
    </row>
    <row r="87" spans="2:12" ht="18">
      <c r="B87" s="1101"/>
      <c r="C87" s="1101"/>
      <c r="D87" s="1101"/>
      <c r="E87" s="1101"/>
      <c r="F87" s="1101"/>
      <c r="G87" s="1101"/>
      <c r="H87" s="1101"/>
      <c r="I87" s="1101"/>
      <c r="J87" s="1101"/>
    </row>
    <row r="88" spans="2:12" ht="66.75" customHeight="1">
      <c r="B88" s="1075" t="s">
        <v>647</v>
      </c>
      <c r="C88" s="1102"/>
      <c r="D88" s="1102"/>
      <c r="E88" s="1102"/>
      <c r="F88" s="1102"/>
      <c r="G88" s="1102"/>
      <c r="H88" s="1102"/>
      <c r="I88" s="1102"/>
      <c r="J88" s="1102"/>
    </row>
    <row r="89" spans="2:12" ht="18">
      <c r="B89" s="145"/>
      <c r="C89" s="146"/>
      <c r="D89" s="146"/>
      <c r="E89" s="146"/>
      <c r="F89" s="146"/>
      <c r="G89" s="146"/>
      <c r="H89" s="146"/>
      <c r="I89" s="146"/>
      <c r="J89" s="147"/>
    </row>
    <row r="90" spans="2:12">
      <c r="B90" s="1103" t="s">
        <v>454</v>
      </c>
      <c r="C90" s="1103"/>
      <c r="D90" s="1103"/>
      <c r="E90" s="1103"/>
      <c r="F90" s="1103"/>
      <c r="G90" s="1103"/>
      <c r="H90" s="1103"/>
      <c r="I90" s="1103"/>
      <c r="J90" s="1103"/>
    </row>
    <row r="91" spans="2:12" ht="25.5">
      <c r="B91" s="148" t="s">
        <v>279</v>
      </c>
      <c r="C91" s="1083" t="s">
        <v>362</v>
      </c>
      <c r="D91" s="1083"/>
      <c r="E91" s="1083"/>
      <c r="F91" s="1083"/>
      <c r="G91" s="1083"/>
      <c r="H91" s="1083"/>
      <c r="I91" s="128" t="s">
        <v>363</v>
      </c>
      <c r="J91" s="126" t="s">
        <v>127</v>
      </c>
    </row>
    <row r="92" spans="2:12">
      <c r="B92" s="149" t="s">
        <v>259</v>
      </c>
      <c r="C92" s="1090" t="s">
        <v>128</v>
      </c>
      <c r="D92" s="1090"/>
      <c r="E92" s="1090"/>
      <c r="F92" s="1090"/>
      <c r="G92" s="1090"/>
      <c r="H92" s="1090"/>
      <c r="I92" s="150">
        <v>0.2</v>
      </c>
      <c r="J92" s="151">
        <f>ROUND($J$62*I92,2)</f>
        <v>0</v>
      </c>
    </row>
    <row r="93" spans="2:12">
      <c r="B93" s="149" t="s">
        <v>261</v>
      </c>
      <c r="C93" s="1090" t="s">
        <v>129</v>
      </c>
      <c r="D93" s="1090"/>
      <c r="E93" s="1090"/>
      <c r="F93" s="1090"/>
      <c r="G93" s="1090"/>
      <c r="H93" s="1090"/>
      <c r="I93" s="150">
        <v>1.4999999999999999E-2</v>
      </c>
      <c r="J93" s="151">
        <f>ROUND($J$62*I93,2)</f>
        <v>0</v>
      </c>
    </row>
    <row r="94" spans="2:12">
      <c r="B94" s="149" t="s">
        <v>263</v>
      </c>
      <c r="C94" s="1090" t="s">
        <v>130</v>
      </c>
      <c r="D94" s="1090"/>
      <c r="E94" s="1090"/>
      <c r="F94" s="1090"/>
      <c r="G94" s="1090"/>
      <c r="H94" s="1090"/>
      <c r="I94" s="150">
        <v>0.01</v>
      </c>
      <c r="J94" s="151">
        <f t="shared" ref="J94:J97" si="0">ROUND($J$62*I94,2)</f>
        <v>0</v>
      </c>
    </row>
    <row r="95" spans="2:12">
      <c r="B95" s="149" t="s">
        <v>264</v>
      </c>
      <c r="C95" s="1090" t="s">
        <v>131</v>
      </c>
      <c r="D95" s="1090"/>
      <c r="E95" s="1090"/>
      <c r="F95" s="1090"/>
      <c r="G95" s="1090"/>
      <c r="H95" s="1090"/>
      <c r="I95" s="150">
        <v>2E-3</v>
      </c>
      <c r="J95" s="151">
        <f t="shared" si="0"/>
        <v>0</v>
      </c>
    </row>
    <row r="96" spans="2:12">
      <c r="B96" s="149" t="s">
        <v>272</v>
      </c>
      <c r="C96" s="1082" t="s">
        <v>301</v>
      </c>
      <c r="D96" s="1082"/>
      <c r="E96" s="1082"/>
      <c r="F96" s="1082"/>
      <c r="G96" s="1082"/>
      <c r="H96" s="1082"/>
      <c r="I96" s="152">
        <v>2.5000000000000001E-2</v>
      </c>
      <c r="J96" s="151">
        <f t="shared" si="0"/>
        <v>0</v>
      </c>
    </row>
    <row r="97" spans="2:10">
      <c r="B97" s="149" t="s">
        <v>273</v>
      </c>
      <c r="C97" s="1082" t="s">
        <v>132</v>
      </c>
      <c r="D97" s="1082"/>
      <c r="E97" s="1082"/>
      <c r="F97" s="1082"/>
      <c r="G97" s="1082"/>
      <c r="H97" s="1082"/>
      <c r="I97" s="152">
        <v>0.08</v>
      </c>
      <c r="J97" s="151">
        <f t="shared" si="0"/>
        <v>0</v>
      </c>
    </row>
    <row r="98" spans="2:10" ht="62.25" customHeight="1">
      <c r="B98" s="149" t="s">
        <v>274</v>
      </c>
      <c r="C98" s="1100" t="s">
        <v>4</v>
      </c>
      <c r="D98" s="1100"/>
      <c r="E98" s="153" t="s">
        <v>342</v>
      </c>
      <c r="F98" s="154">
        <v>0.03</v>
      </c>
      <c r="G98" s="153" t="s">
        <v>455</v>
      </c>
      <c r="H98" s="155">
        <v>1</v>
      </c>
      <c r="I98" s="156">
        <f>ROUND((F98*H98),6)</f>
        <v>0.03</v>
      </c>
      <c r="J98" s="151">
        <f>ROUND($J$62*I98,2)</f>
        <v>0</v>
      </c>
    </row>
    <row r="99" spans="2:10">
      <c r="B99" s="149" t="s">
        <v>275</v>
      </c>
      <c r="C99" s="1082" t="s">
        <v>133</v>
      </c>
      <c r="D99" s="1082"/>
      <c r="E99" s="1082"/>
      <c r="F99" s="1082"/>
      <c r="G99" s="1082"/>
      <c r="H99" s="1082"/>
      <c r="I99" s="152">
        <v>6.0000000000000001E-3</v>
      </c>
      <c r="J99" s="151">
        <f>ROUND($J$62*I99,2)</f>
        <v>0</v>
      </c>
    </row>
    <row r="100" spans="2:10">
      <c r="B100" s="1076" t="s">
        <v>134</v>
      </c>
      <c r="C100" s="1076"/>
      <c r="D100" s="1076"/>
      <c r="E100" s="1076"/>
      <c r="F100" s="1076"/>
      <c r="G100" s="1076"/>
      <c r="H100" s="1076"/>
      <c r="I100" s="157">
        <f>SUM(I92:I99)</f>
        <v>0.3680000000000001</v>
      </c>
      <c r="J100" s="142">
        <f>SUM(J92:J99)</f>
        <v>0</v>
      </c>
    </row>
    <row r="101" spans="2:10">
      <c r="B101" s="158"/>
      <c r="C101" s="159"/>
      <c r="D101" s="159"/>
      <c r="E101" s="159"/>
      <c r="F101" s="159"/>
      <c r="G101" s="159"/>
      <c r="H101" s="159"/>
      <c r="I101" s="160"/>
      <c r="J101" s="161"/>
    </row>
    <row r="102" spans="2:10" ht="31.5" customHeight="1">
      <c r="B102" s="1168" t="s">
        <v>387</v>
      </c>
      <c r="C102" s="1068"/>
      <c r="D102" s="1068"/>
      <c r="E102" s="1068"/>
      <c r="F102" s="1068"/>
      <c r="G102" s="1068"/>
      <c r="H102" s="1068"/>
      <c r="I102" s="1068"/>
      <c r="J102" s="1068"/>
    </row>
    <row r="103" spans="2:10">
      <c r="B103" s="1099"/>
      <c r="C103" s="1099"/>
      <c r="D103" s="1099"/>
      <c r="E103" s="1099"/>
      <c r="F103" s="1099"/>
      <c r="G103" s="1099"/>
      <c r="H103" s="1099"/>
      <c r="I103" s="1099"/>
      <c r="J103" s="1099"/>
    </row>
    <row r="104" spans="2:10" ht="15">
      <c r="B104" s="1089" t="s">
        <v>365</v>
      </c>
      <c r="C104" s="1089"/>
      <c r="D104" s="1089"/>
      <c r="E104" s="1089"/>
      <c r="F104" s="1089"/>
      <c r="G104" s="1089"/>
      <c r="H104" s="1089"/>
      <c r="I104" s="1089"/>
      <c r="J104" s="1089"/>
    </row>
    <row r="105" spans="2:10" ht="15">
      <c r="B105" s="137" t="s">
        <v>280</v>
      </c>
      <c r="C105" s="1083" t="s">
        <v>367</v>
      </c>
      <c r="D105" s="1083"/>
      <c r="E105" s="1083"/>
      <c r="F105" s="1083"/>
      <c r="G105" s="1083"/>
      <c r="H105" s="1083"/>
      <c r="I105" s="1083"/>
      <c r="J105" s="137" t="s">
        <v>127</v>
      </c>
    </row>
    <row r="106" spans="2:10" ht="24" customHeight="1">
      <c r="B106" s="136" t="s">
        <v>259</v>
      </c>
      <c r="C106" s="1090" t="s">
        <v>495</v>
      </c>
      <c r="D106" s="1090"/>
      <c r="E106" s="1090"/>
      <c r="F106" s="1090"/>
      <c r="G106" s="1090"/>
      <c r="H106" s="1090"/>
      <c r="I106" s="1090"/>
      <c r="J106" s="151">
        <f>ROUND($J$62*8.33%,2)</f>
        <v>0</v>
      </c>
    </row>
    <row r="107" spans="2:10">
      <c r="B107" s="1076" t="s">
        <v>281</v>
      </c>
      <c r="C107" s="1076"/>
      <c r="D107" s="1076"/>
      <c r="E107" s="1076"/>
      <c r="F107" s="1076"/>
      <c r="G107" s="1076"/>
      <c r="H107" s="1076"/>
      <c r="I107" s="1076"/>
      <c r="J107" s="162">
        <f>SUM(J106:J106)</f>
        <v>0</v>
      </c>
    </row>
    <row r="108" spans="2:10">
      <c r="B108" s="136" t="s">
        <v>261</v>
      </c>
      <c r="C108" s="1098" t="s">
        <v>5</v>
      </c>
      <c r="D108" s="1098"/>
      <c r="E108" s="1098"/>
      <c r="F108" s="1098"/>
      <c r="G108" s="1098"/>
      <c r="H108" s="1098"/>
      <c r="I108" s="1098"/>
      <c r="J108" s="163">
        <f>ROUND(I100*J107,2)</f>
        <v>0</v>
      </c>
    </row>
    <row r="109" spans="2:10">
      <c r="B109" s="1076" t="s">
        <v>134</v>
      </c>
      <c r="C109" s="1076"/>
      <c r="D109" s="1076"/>
      <c r="E109" s="1076"/>
      <c r="F109" s="1076"/>
      <c r="G109" s="1076"/>
      <c r="H109" s="1076"/>
      <c r="I109" s="1076"/>
      <c r="J109" s="162">
        <f>SUM(J107:J108)</f>
        <v>0</v>
      </c>
    </row>
    <row r="110" spans="2:10">
      <c r="B110" s="1097"/>
      <c r="C110" s="1097"/>
      <c r="D110" s="1097"/>
      <c r="E110" s="1097"/>
      <c r="F110" s="1097"/>
      <c r="G110" s="1097"/>
      <c r="H110" s="1097"/>
      <c r="I110" s="1097"/>
      <c r="J110" s="1097"/>
    </row>
    <row r="111" spans="2:10" ht="15">
      <c r="B111" s="1089" t="s">
        <v>368</v>
      </c>
      <c r="C111" s="1089"/>
      <c r="D111" s="1089"/>
      <c r="E111" s="1089"/>
      <c r="F111" s="1089"/>
      <c r="G111" s="1089"/>
      <c r="H111" s="1089"/>
      <c r="I111" s="1089"/>
      <c r="J111" s="1089"/>
    </row>
    <row r="112" spans="2:10" ht="15">
      <c r="B112" s="137" t="s">
        <v>282</v>
      </c>
      <c r="C112" s="1081" t="s">
        <v>287</v>
      </c>
      <c r="D112" s="1081"/>
      <c r="E112" s="1081"/>
      <c r="F112" s="1081"/>
      <c r="G112" s="1081"/>
      <c r="H112" s="1081"/>
      <c r="I112" s="1081"/>
      <c r="J112" s="137" t="s">
        <v>127</v>
      </c>
    </row>
    <row r="113" spans="2:14" ht="25.5" customHeight="1">
      <c r="B113" s="136" t="s">
        <v>259</v>
      </c>
      <c r="C113" s="1082" t="s">
        <v>492</v>
      </c>
      <c r="D113" s="1082"/>
      <c r="E113" s="1082"/>
      <c r="F113" s="1082"/>
      <c r="G113" s="1082"/>
      <c r="H113" s="1082"/>
      <c r="I113" s="1082"/>
      <c r="J113" s="151">
        <f>ROUND((((J62+(1/3*J62))/12)*(4/12))*2%,2)</f>
        <v>0</v>
      </c>
      <c r="N113" s="216"/>
    </row>
    <row r="114" spans="2:14">
      <c r="B114" s="136" t="s">
        <v>261</v>
      </c>
      <c r="C114" s="1082" t="s">
        <v>424</v>
      </c>
      <c r="D114" s="1082"/>
      <c r="E114" s="1082"/>
      <c r="F114" s="1082"/>
      <c r="G114" s="1082"/>
      <c r="H114" s="1082"/>
      <c r="I114" s="1082"/>
      <c r="J114" s="151">
        <f>ROUND(I100*J113,2)</f>
        <v>0</v>
      </c>
    </row>
    <row r="115" spans="2:14">
      <c r="B115" s="1076" t="s">
        <v>134</v>
      </c>
      <c r="C115" s="1076"/>
      <c r="D115" s="1076"/>
      <c r="E115" s="1076"/>
      <c r="F115" s="1076"/>
      <c r="G115" s="1076"/>
      <c r="H115" s="1076"/>
      <c r="I115" s="1076"/>
      <c r="J115" s="142">
        <f>SUM(J113:J114)</f>
        <v>0</v>
      </c>
      <c r="N115" s="216"/>
    </row>
    <row r="116" spans="2:14" ht="15">
      <c r="B116" s="1085" t="s">
        <v>369</v>
      </c>
      <c r="C116" s="1085"/>
      <c r="D116" s="1085"/>
      <c r="E116" s="1085"/>
      <c r="F116" s="1085"/>
      <c r="G116" s="1085"/>
      <c r="H116" s="1085"/>
      <c r="I116" s="1085"/>
      <c r="J116" s="1085"/>
    </row>
    <row r="117" spans="2:14" ht="15">
      <c r="B117" s="137" t="s">
        <v>283</v>
      </c>
      <c r="C117" s="1081" t="s">
        <v>370</v>
      </c>
      <c r="D117" s="1081"/>
      <c r="E117" s="1081"/>
      <c r="F117" s="1081"/>
      <c r="G117" s="1081"/>
      <c r="H117" s="1081"/>
      <c r="I117" s="1081"/>
      <c r="J117" s="137" t="s">
        <v>127</v>
      </c>
    </row>
    <row r="118" spans="2:14" ht="57" customHeight="1">
      <c r="B118" s="52" t="s">
        <v>259</v>
      </c>
      <c r="C118" s="1095" t="s">
        <v>493</v>
      </c>
      <c r="D118" s="1087"/>
      <c r="E118" s="1087"/>
      <c r="F118" s="1087"/>
      <c r="G118" s="1087"/>
      <c r="H118" s="1087"/>
      <c r="I118" s="1096"/>
      <c r="J118" s="51">
        <f>ROUND((($J$62/12)+($J$106/12)+($J$128/12))*(30/30)*5%,2)</f>
        <v>0</v>
      </c>
    </row>
    <row r="119" spans="2:14">
      <c r="B119" s="136" t="s">
        <v>261</v>
      </c>
      <c r="C119" s="1086" t="s">
        <v>7</v>
      </c>
      <c r="D119" s="1086"/>
      <c r="E119" s="1086"/>
      <c r="F119" s="1086"/>
      <c r="G119" s="1086"/>
      <c r="H119" s="1086"/>
      <c r="I119" s="1086"/>
      <c r="J119" s="151">
        <f>ROUND($I$97*J118,2)</f>
        <v>0</v>
      </c>
    </row>
    <row r="120" spans="2:14" ht="39" customHeight="1">
      <c r="B120" s="136" t="s">
        <v>263</v>
      </c>
      <c r="C120" s="1090" t="s">
        <v>494</v>
      </c>
      <c r="D120" s="1090"/>
      <c r="E120" s="1090"/>
      <c r="F120" s="1090"/>
      <c r="G120" s="1090"/>
      <c r="H120" s="1090"/>
      <c r="I120" s="1090"/>
      <c r="J120" s="151">
        <f>ROUND(0.24%*J62,2)</f>
        <v>0</v>
      </c>
      <c r="M120" s="234"/>
    </row>
    <row r="121" spans="2:14" ht="29.25" customHeight="1">
      <c r="B121" s="136" t="s">
        <v>264</v>
      </c>
      <c r="C121" s="1090" t="s">
        <v>496</v>
      </c>
      <c r="D121" s="1090"/>
      <c r="E121" s="1090"/>
      <c r="F121" s="1090"/>
      <c r="G121" s="1090"/>
      <c r="H121" s="1090"/>
      <c r="I121" s="1090"/>
      <c r="J121" s="151">
        <f>ROUND($J$62*((7/30)/$I$15)*90%,2)</f>
        <v>0</v>
      </c>
    </row>
    <row r="122" spans="2:14">
      <c r="B122" s="136" t="s">
        <v>272</v>
      </c>
      <c r="C122" s="1086" t="s">
        <v>423</v>
      </c>
      <c r="D122" s="1086"/>
      <c r="E122" s="1086"/>
      <c r="F122" s="1086"/>
      <c r="G122" s="1086"/>
      <c r="H122" s="1086"/>
      <c r="I122" s="1086"/>
      <c r="J122" s="151">
        <f>ROUND($I$100*J121,2)</f>
        <v>0</v>
      </c>
    </row>
    <row r="123" spans="2:14" ht="39.75" customHeight="1">
      <c r="B123" s="136" t="s">
        <v>273</v>
      </c>
      <c r="C123" s="1091" t="s">
        <v>497</v>
      </c>
      <c r="D123" s="1091"/>
      <c r="E123" s="1091"/>
      <c r="F123" s="1091"/>
      <c r="G123" s="1091"/>
      <c r="H123" s="1091"/>
      <c r="I123" s="1091"/>
      <c r="J123" s="151">
        <f>ROUND(4.76%*J62,2)</f>
        <v>0</v>
      </c>
    </row>
    <row r="124" spans="2:14">
      <c r="B124" s="1076" t="s">
        <v>134</v>
      </c>
      <c r="C124" s="1076"/>
      <c r="D124" s="1076"/>
      <c r="E124" s="1076"/>
      <c r="F124" s="1076"/>
      <c r="G124" s="1076"/>
      <c r="H124" s="1076"/>
      <c r="I124" s="1076"/>
      <c r="J124" s="142">
        <f>SUM(J118:J123)</f>
        <v>0</v>
      </c>
    </row>
    <row r="125" spans="2:14" ht="15">
      <c r="B125" s="1089" t="s">
        <v>10</v>
      </c>
      <c r="C125" s="1089"/>
      <c r="D125" s="1089"/>
      <c r="E125" s="1089"/>
      <c r="F125" s="1089"/>
      <c r="G125" s="1089"/>
      <c r="H125" s="1089"/>
      <c r="I125" s="1089"/>
      <c r="J125" s="1089"/>
    </row>
    <row r="126" spans="2:14" ht="26.25" customHeight="1">
      <c r="B126" s="222"/>
      <c r="C126" s="1092" t="s">
        <v>498</v>
      </c>
      <c r="D126" s="1093"/>
      <c r="E126" s="1093"/>
      <c r="F126" s="1093"/>
      <c r="G126" s="1093"/>
      <c r="H126" s="1093"/>
      <c r="I126" s="1094"/>
      <c r="J126" s="223">
        <f>ROUND(J62+J106+(J62/3/12),2)</f>
        <v>0</v>
      </c>
    </row>
    <row r="127" spans="2:14" ht="15">
      <c r="B127" s="164" t="s">
        <v>284</v>
      </c>
      <c r="C127" s="1081" t="s">
        <v>350</v>
      </c>
      <c r="D127" s="1081"/>
      <c r="E127" s="1081"/>
      <c r="F127" s="1081"/>
      <c r="G127" s="1081"/>
      <c r="H127" s="1081"/>
      <c r="I127" s="1081"/>
      <c r="J127" s="164" t="s">
        <v>127</v>
      </c>
    </row>
    <row r="128" spans="2:14" ht="29.25" customHeight="1">
      <c r="B128" s="165" t="s">
        <v>259</v>
      </c>
      <c r="C128" s="1090" t="s">
        <v>499</v>
      </c>
      <c r="D128" s="1090"/>
      <c r="E128" s="1090"/>
      <c r="F128" s="1090"/>
      <c r="G128" s="1090"/>
      <c r="H128" s="1090"/>
      <c r="I128" s="1090"/>
      <c r="J128" s="151">
        <f>ROUND($J$62*12.1%,2)</f>
        <v>0</v>
      </c>
    </row>
    <row r="129" spans="2:11">
      <c r="B129" s="165" t="s">
        <v>261</v>
      </c>
      <c r="C129" s="1086" t="s">
        <v>501</v>
      </c>
      <c r="D129" s="1086"/>
      <c r="E129" s="1086"/>
      <c r="F129" s="1086"/>
      <c r="G129" s="1086"/>
      <c r="H129" s="1086"/>
      <c r="I129" s="1086"/>
      <c r="J129" s="166">
        <f>ROUND(($J$126/30*5/12),2)</f>
        <v>0</v>
      </c>
      <c r="K129" s="225"/>
    </row>
    <row r="130" spans="2:11">
      <c r="B130" s="165" t="s">
        <v>263</v>
      </c>
      <c r="C130" s="1086" t="s">
        <v>500</v>
      </c>
      <c r="D130" s="1086"/>
      <c r="E130" s="1086"/>
      <c r="F130" s="1086"/>
      <c r="G130" s="1086"/>
      <c r="H130" s="1086"/>
      <c r="I130" s="1086"/>
      <c r="J130" s="166">
        <f>ROUND(($J$126/30*5/12)*1.5%,2)</f>
        <v>0</v>
      </c>
    </row>
    <row r="131" spans="2:11">
      <c r="B131" s="165" t="s">
        <v>264</v>
      </c>
      <c r="C131" s="1086" t="s">
        <v>502</v>
      </c>
      <c r="D131" s="1086"/>
      <c r="E131" s="1086"/>
      <c r="F131" s="1086"/>
      <c r="G131" s="1086"/>
      <c r="H131" s="1086"/>
      <c r="I131" s="1086"/>
      <c r="J131" s="166">
        <f>ROUND(($J$126/30/12)*2.96,2)</f>
        <v>0</v>
      </c>
    </row>
    <row r="132" spans="2:11" ht="24" customHeight="1">
      <c r="B132" s="165" t="s">
        <v>272</v>
      </c>
      <c r="C132" s="1074" t="s">
        <v>503</v>
      </c>
      <c r="D132" s="1087"/>
      <c r="E132" s="1087"/>
      <c r="F132" s="1087"/>
      <c r="G132" s="1087"/>
      <c r="H132" s="1087"/>
      <c r="I132" s="1088"/>
      <c r="J132" s="167">
        <f>ROUND(($J$126/30*15/12)*0.78%,2)</f>
        <v>0</v>
      </c>
    </row>
    <row r="133" spans="2:11">
      <c r="B133" s="165" t="s">
        <v>273</v>
      </c>
      <c r="C133" s="1086" t="s">
        <v>126</v>
      </c>
      <c r="D133" s="1086"/>
      <c r="E133" s="1086"/>
      <c r="F133" s="1086"/>
      <c r="G133" s="1086"/>
      <c r="H133" s="1086"/>
      <c r="I133" s="1086"/>
      <c r="J133" s="167">
        <v>0</v>
      </c>
    </row>
    <row r="134" spans="2:11">
      <c r="B134" s="1076" t="s">
        <v>281</v>
      </c>
      <c r="C134" s="1076"/>
      <c r="D134" s="1076"/>
      <c r="E134" s="1076"/>
      <c r="F134" s="1076"/>
      <c r="G134" s="1076"/>
      <c r="H134" s="1076"/>
      <c r="I134" s="1076"/>
      <c r="J134" s="168">
        <f>SUM(J128:J133)</f>
        <v>0</v>
      </c>
    </row>
    <row r="135" spans="2:11">
      <c r="B135" s="165" t="s">
        <v>274</v>
      </c>
      <c r="C135" s="1084" t="s">
        <v>425</v>
      </c>
      <c r="D135" s="1084"/>
      <c r="E135" s="1084"/>
      <c r="F135" s="1084"/>
      <c r="G135" s="1084"/>
      <c r="H135" s="1084"/>
      <c r="I135" s="1084"/>
      <c r="J135" s="167">
        <f>ROUND(I100*J134,2)</f>
        <v>0</v>
      </c>
    </row>
    <row r="136" spans="2:11">
      <c r="B136" s="1076" t="s">
        <v>134</v>
      </c>
      <c r="C136" s="1076"/>
      <c r="D136" s="1076"/>
      <c r="E136" s="1076"/>
      <c r="F136" s="1076"/>
      <c r="G136" s="1076"/>
      <c r="H136" s="1076"/>
      <c r="I136" s="1076"/>
      <c r="J136" s="142">
        <f>SUM(J134:J135)</f>
        <v>0</v>
      </c>
    </row>
    <row r="137" spans="2:11" ht="15">
      <c r="B137" s="1085" t="s">
        <v>15</v>
      </c>
      <c r="C137" s="1085"/>
      <c r="D137" s="1085"/>
      <c r="E137" s="1085"/>
      <c r="F137" s="1085"/>
      <c r="G137" s="1085"/>
      <c r="H137" s="1085"/>
      <c r="I137" s="1085"/>
      <c r="J137" s="1085"/>
    </row>
    <row r="138" spans="2:11" ht="15">
      <c r="B138" s="137">
        <v>4</v>
      </c>
      <c r="C138" s="1083" t="s">
        <v>372</v>
      </c>
      <c r="D138" s="1083"/>
      <c r="E138" s="1083"/>
      <c r="F138" s="1083"/>
      <c r="G138" s="1083"/>
      <c r="H138" s="1083"/>
      <c r="I138" s="1083"/>
      <c r="J138" s="137" t="s">
        <v>127</v>
      </c>
    </row>
    <row r="139" spans="2:11">
      <c r="B139" s="136" t="s">
        <v>279</v>
      </c>
      <c r="C139" s="1082" t="s">
        <v>362</v>
      </c>
      <c r="D139" s="1082"/>
      <c r="E139" s="1082"/>
      <c r="F139" s="1082"/>
      <c r="G139" s="1082"/>
      <c r="H139" s="1082"/>
      <c r="I139" s="1082"/>
      <c r="J139" s="138">
        <f>J100</f>
        <v>0</v>
      </c>
    </row>
    <row r="140" spans="2:11">
      <c r="B140" s="136" t="s">
        <v>280</v>
      </c>
      <c r="C140" s="1082" t="s">
        <v>16</v>
      </c>
      <c r="D140" s="1082"/>
      <c r="E140" s="1082"/>
      <c r="F140" s="1082"/>
      <c r="G140" s="1082"/>
      <c r="H140" s="1082"/>
      <c r="I140" s="1082"/>
      <c r="J140" s="138">
        <f>J109</f>
        <v>0</v>
      </c>
    </row>
    <row r="141" spans="2:11">
      <c r="B141" s="136" t="s">
        <v>282</v>
      </c>
      <c r="C141" s="1082" t="s">
        <v>287</v>
      </c>
      <c r="D141" s="1082"/>
      <c r="E141" s="1082"/>
      <c r="F141" s="1082"/>
      <c r="G141" s="1082"/>
      <c r="H141" s="1082"/>
      <c r="I141" s="1082"/>
      <c r="J141" s="138">
        <f>J115</f>
        <v>0</v>
      </c>
    </row>
    <row r="142" spans="2:11">
      <c r="B142" s="136" t="s">
        <v>283</v>
      </c>
      <c r="C142" s="1082" t="s">
        <v>288</v>
      </c>
      <c r="D142" s="1082"/>
      <c r="E142" s="1082"/>
      <c r="F142" s="1082"/>
      <c r="G142" s="1082"/>
      <c r="H142" s="1082"/>
      <c r="I142" s="1082"/>
      <c r="J142" s="138">
        <f>J124</f>
        <v>0</v>
      </c>
    </row>
    <row r="143" spans="2:11">
      <c r="B143" s="136" t="s">
        <v>284</v>
      </c>
      <c r="C143" s="1082" t="s">
        <v>289</v>
      </c>
      <c r="D143" s="1082"/>
      <c r="E143" s="1082"/>
      <c r="F143" s="1082"/>
      <c r="G143" s="1082"/>
      <c r="H143" s="1082"/>
      <c r="I143" s="1082"/>
      <c r="J143" s="138">
        <f>J136</f>
        <v>0</v>
      </c>
    </row>
    <row r="144" spans="2:11">
      <c r="B144" s="136" t="s">
        <v>286</v>
      </c>
      <c r="C144" s="1082" t="s">
        <v>126</v>
      </c>
      <c r="D144" s="1082"/>
      <c r="E144" s="1082"/>
      <c r="F144" s="1082"/>
      <c r="G144" s="1082"/>
      <c r="H144" s="1082"/>
      <c r="I144" s="1082"/>
      <c r="J144" s="138">
        <v>0</v>
      </c>
    </row>
    <row r="145" spans="2:13">
      <c r="B145" s="1076" t="s">
        <v>134</v>
      </c>
      <c r="C145" s="1076"/>
      <c r="D145" s="1076"/>
      <c r="E145" s="1076"/>
      <c r="F145" s="1076"/>
      <c r="G145" s="1076"/>
      <c r="H145" s="1076"/>
      <c r="I145" s="1076"/>
      <c r="J145" s="142">
        <f>SUM(J139:J144)</f>
        <v>0</v>
      </c>
    </row>
    <row r="146" spans="2:13">
      <c r="B146" s="1080" t="s">
        <v>333</v>
      </c>
      <c r="C146" s="1080"/>
      <c r="D146" s="1080"/>
      <c r="E146" s="1080"/>
      <c r="F146" s="1080"/>
      <c r="G146" s="1080"/>
      <c r="H146" s="1080"/>
      <c r="I146" s="1080"/>
      <c r="J146" s="1080"/>
    </row>
    <row r="147" spans="2:13" ht="25.5">
      <c r="B147" s="137">
        <v>5</v>
      </c>
      <c r="C147" s="1081" t="s">
        <v>374</v>
      </c>
      <c r="D147" s="1081"/>
      <c r="E147" s="1081"/>
      <c r="F147" s="1081"/>
      <c r="G147" s="1081"/>
      <c r="H147" s="1081"/>
      <c r="I147" s="128" t="s">
        <v>363</v>
      </c>
      <c r="J147" s="169" t="s">
        <v>127</v>
      </c>
    </row>
    <row r="148" spans="2:13" ht="36" customHeight="1">
      <c r="B148" s="1078" t="s">
        <v>504</v>
      </c>
      <c r="C148" s="1078"/>
      <c r="D148" s="1078"/>
      <c r="E148" s="1078"/>
      <c r="F148" s="1078"/>
      <c r="G148" s="1078"/>
      <c r="H148" s="1078"/>
      <c r="I148" s="170" t="s">
        <v>227</v>
      </c>
      <c r="J148" s="171">
        <f>SUM(J62+J75+J86+J145)</f>
        <v>0</v>
      </c>
      <c r="M148" s="219"/>
    </row>
    <row r="149" spans="2:13" ht="15">
      <c r="B149" s="136" t="s">
        <v>259</v>
      </c>
      <c r="C149" s="1079" t="s">
        <v>18</v>
      </c>
      <c r="D149" s="1079"/>
      <c r="E149" s="1079"/>
      <c r="F149" s="1079"/>
      <c r="G149" s="1079"/>
      <c r="H149" s="1079"/>
      <c r="I149" s="152">
        <v>0.03</v>
      </c>
      <c r="J149" s="151">
        <f>ROUND(I149*J148,2)</f>
        <v>0</v>
      </c>
    </row>
    <row r="150" spans="2:13" ht="36.75" customHeight="1">
      <c r="B150" s="1078" t="s">
        <v>505</v>
      </c>
      <c r="C150" s="1078"/>
      <c r="D150" s="1078"/>
      <c r="E150" s="1078"/>
      <c r="F150" s="1078"/>
      <c r="G150" s="1078"/>
      <c r="H150" s="1078"/>
      <c r="I150" s="172" t="s">
        <v>227</v>
      </c>
      <c r="J150" s="171">
        <f>SUM(J62+J75+J86+J145+J149)</f>
        <v>0</v>
      </c>
    </row>
    <row r="151" spans="2:13" ht="15">
      <c r="B151" s="136" t="s">
        <v>261</v>
      </c>
      <c r="C151" s="1079" t="s">
        <v>290</v>
      </c>
      <c r="D151" s="1079"/>
      <c r="E151" s="1079"/>
      <c r="F151" s="1079"/>
      <c r="G151" s="1079"/>
      <c r="H151" s="1079"/>
      <c r="I151" s="152">
        <v>6.7900000000000002E-2</v>
      </c>
      <c r="J151" s="151">
        <f>ROUND(I151*J150,2)</f>
        <v>0</v>
      </c>
    </row>
    <row r="152" spans="2:13" ht="39.75" customHeight="1">
      <c r="B152" s="1078" t="s">
        <v>506</v>
      </c>
      <c r="C152" s="1078"/>
      <c r="D152" s="1078"/>
      <c r="E152" s="1078"/>
      <c r="F152" s="1078"/>
      <c r="G152" s="1078"/>
      <c r="H152" s="1078"/>
      <c r="I152" s="172" t="s">
        <v>227</v>
      </c>
      <c r="J152" s="171">
        <f>SUM(J62+J75+J86+J145+J149+J151)</f>
        <v>0</v>
      </c>
    </row>
    <row r="153" spans="2:13">
      <c r="B153" s="136" t="s">
        <v>263</v>
      </c>
      <c r="C153" s="1077" t="s">
        <v>291</v>
      </c>
      <c r="D153" s="1077"/>
      <c r="E153" s="1077"/>
      <c r="F153" s="1077"/>
      <c r="G153" s="1077"/>
      <c r="H153" s="1077"/>
      <c r="I153" s="173" t="s">
        <v>227</v>
      </c>
      <c r="J153" s="174" t="s">
        <v>227</v>
      </c>
    </row>
    <row r="154" spans="2:13">
      <c r="B154" s="136"/>
      <c r="C154" s="1077" t="s">
        <v>19</v>
      </c>
      <c r="D154" s="1077"/>
      <c r="E154" s="1077"/>
      <c r="F154" s="1077"/>
      <c r="G154" s="1077"/>
      <c r="H154" s="1077"/>
      <c r="I154" s="173" t="s">
        <v>227</v>
      </c>
      <c r="J154" s="174" t="s">
        <v>227</v>
      </c>
    </row>
    <row r="155" spans="2:13">
      <c r="B155" s="136"/>
      <c r="C155" s="1075" t="s">
        <v>507</v>
      </c>
      <c r="D155" s="1068"/>
      <c r="E155" s="1068"/>
      <c r="F155" s="1068"/>
      <c r="G155" s="1068"/>
      <c r="H155" s="1068"/>
      <c r="I155" s="175">
        <v>7.5999999999999998E-2</v>
      </c>
      <c r="J155" s="151">
        <f>ROUND(($J$152/(1-$I$163))*I155,2)</f>
        <v>0</v>
      </c>
    </row>
    <row r="156" spans="2:13">
      <c r="B156" s="136"/>
      <c r="C156" s="1075" t="s">
        <v>508</v>
      </c>
      <c r="D156" s="1068"/>
      <c r="E156" s="1068"/>
      <c r="F156" s="1068"/>
      <c r="G156" s="1068"/>
      <c r="H156" s="1068"/>
      <c r="I156" s="175">
        <v>1.6500000000000001E-2</v>
      </c>
      <c r="J156" s="151">
        <f>ROUND(($J$152/(1-$I$163))*I156,2)</f>
        <v>0</v>
      </c>
    </row>
    <row r="157" spans="2:13" ht="24" customHeight="1">
      <c r="B157" s="136"/>
      <c r="C157" s="1078" t="s">
        <v>480</v>
      </c>
      <c r="D157" s="1078"/>
      <c r="E157" s="1078"/>
      <c r="F157" s="1078"/>
      <c r="G157" s="1078"/>
      <c r="H157" s="1078"/>
      <c r="I157" s="176" t="s">
        <v>227</v>
      </c>
      <c r="J157" s="174" t="s">
        <v>227</v>
      </c>
    </row>
    <row r="158" spans="2:13">
      <c r="B158" s="136"/>
      <c r="C158" s="1073" t="s">
        <v>22</v>
      </c>
      <c r="D158" s="1073"/>
      <c r="E158" s="1073"/>
      <c r="F158" s="1073"/>
      <c r="G158" s="1073"/>
      <c r="H158" s="1073"/>
      <c r="I158" s="176" t="s">
        <v>227</v>
      </c>
      <c r="J158" s="174" t="s">
        <v>227</v>
      </c>
    </row>
    <row r="159" spans="2:13">
      <c r="B159" s="136"/>
      <c r="C159" s="1074" t="s">
        <v>23</v>
      </c>
      <c r="D159" s="1074"/>
      <c r="E159" s="1074"/>
      <c r="F159" s="1074"/>
      <c r="G159" s="1074"/>
      <c r="H159" s="1074"/>
      <c r="I159" s="176" t="s">
        <v>227</v>
      </c>
      <c r="J159" s="174" t="s">
        <v>227</v>
      </c>
    </row>
    <row r="160" spans="2:13">
      <c r="B160" s="136"/>
      <c r="C160" s="1075" t="s">
        <v>640</v>
      </c>
      <c r="D160" s="1068"/>
      <c r="E160" s="1068"/>
      <c r="F160" s="1068"/>
      <c r="G160" s="1068"/>
      <c r="H160" s="1068"/>
      <c r="I160" s="175">
        <v>0.03</v>
      </c>
      <c r="J160" s="151">
        <f>ROUND(($J$152/(1-$I$163))*I160,2)</f>
        <v>0</v>
      </c>
    </row>
    <row r="161" spans="2:10">
      <c r="B161" s="1076" t="s">
        <v>134</v>
      </c>
      <c r="C161" s="1076"/>
      <c r="D161" s="1076"/>
      <c r="E161" s="1076"/>
      <c r="F161" s="1076"/>
      <c r="G161" s="1076"/>
      <c r="H161" s="1076"/>
      <c r="I161" s="1076"/>
      <c r="J161" s="142">
        <f>SUM(J149+J151+J155+J156+J160)</f>
        <v>0</v>
      </c>
    </row>
    <row r="162" spans="2:10">
      <c r="B162" s="1049"/>
      <c r="C162" s="1049"/>
      <c r="D162" s="1049"/>
      <c r="E162" s="1049"/>
      <c r="F162" s="1049"/>
      <c r="G162" s="1049"/>
      <c r="H162" s="1049"/>
      <c r="I162" s="1049"/>
      <c r="J162" s="1049"/>
    </row>
    <row r="163" spans="2:10">
      <c r="B163" s="1070" t="s">
        <v>302</v>
      </c>
      <c r="C163" s="1070"/>
      <c r="D163" s="1070"/>
      <c r="E163" s="1070"/>
      <c r="F163" s="1070"/>
      <c r="G163" s="1070"/>
      <c r="H163" s="1070"/>
      <c r="I163" s="177">
        <f>SUM(I155:I160)</f>
        <v>0.1225</v>
      </c>
      <c r="J163" s="178">
        <f>SUM(J155:J160)</f>
        <v>0</v>
      </c>
    </row>
    <row r="164" spans="2:10" hidden="1">
      <c r="B164" s="1071" t="s">
        <v>292</v>
      </c>
      <c r="C164" s="1071"/>
      <c r="D164" s="703" t="s">
        <v>294</v>
      </c>
      <c r="E164" s="703"/>
      <c r="F164" s="703"/>
      <c r="G164" s="703"/>
      <c r="H164" s="703"/>
      <c r="I164" s="703"/>
      <c r="J164" s="703"/>
    </row>
    <row r="165" spans="2:10" hidden="1">
      <c r="B165" s="1071"/>
      <c r="C165" s="1071"/>
      <c r="D165" s="723" t="s">
        <v>293</v>
      </c>
      <c r="E165" s="723"/>
      <c r="F165" s="723"/>
      <c r="G165" s="723"/>
      <c r="H165" s="723"/>
      <c r="I165" s="723"/>
      <c r="J165" s="723"/>
    </row>
    <row r="166" spans="2:10" hidden="1">
      <c r="B166" s="1071"/>
      <c r="C166" s="1071"/>
      <c r="D166" s="1072" t="s">
        <v>295</v>
      </c>
      <c r="E166" s="1072"/>
      <c r="F166" s="1072"/>
      <c r="G166" s="1072"/>
      <c r="H166" s="1072"/>
      <c r="I166" s="1072"/>
      <c r="J166" s="1072"/>
    </row>
    <row r="167" spans="2:10">
      <c r="B167" s="1067"/>
      <c r="C167" s="1067"/>
      <c r="D167" s="1067"/>
      <c r="E167" s="1067"/>
      <c r="F167" s="1067"/>
      <c r="G167" s="1067"/>
      <c r="H167" s="1067"/>
      <c r="I167" s="1067"/>
      <c r="J167" s="1067"/>
    </row>
    <row r="168" spans="2:10">
      <c r="B168" s="1068" t="s">
        <v>24</v>
      </c>
      <c r="C168" s="1068"/>
      <c r="D168" s="1068"/>
      <c r="E168" s="1068"/>
      <c r="F168" s="1068"/>
      <c r="G168" s="1068"/>
      <c r="H168" s="1068"/>
      <c r="I168" s="1068"/>
      <c r="J168" s="1068"/>
    </row>
    <row r="169" spans="2:10">
      <c r="B169" s="1049"/>
      <c r="C169" s="1049"/>
      <c r="D169" s="1049"/>
      <c r="E169" s="1049"/>
      <c r="F169" s="1049"/>
      <c r="G169" s="1049"/>
      <c r="H169" s="1049"/>
      <c r="I169" s="1049"/>
      <c r="J169" s="1049"/>
    </row>
    <row r="170" spans="2:10" ht="15.75">
      <c r="B170" s="1069" t="s">
        <v>25</v>
      </c>
      <c r="C170" s="1069"/>
      <c r="D170" s="1069"/>
      <c r="E170" s="1069"/>
      <c r="F170" s="1069"/>
      <c r="G170" s="1069"/>
      <c r="H170" s="1069"/>
      <c r="I170" s="1069"/>
      <c r="J170" s="1069"/>
    </row>
    <row r="171" spans="2:10" ht="15">
      <c r="B171" s="1066" t="s">
        <v>114</v>
      </c>
      <c r="C171" s="1066"/>
      <c r="D171" s="1066"/>
      <c r="E171" s="1066"/>
      <c r="F171" s="1066"/>
      <c r="G171" s="1066"/>
      <c r="H171" s="1066"/>
      <c r="I171" s="1066"/>
      <c r="J171" s="128" t="s">
        <v>127</v>
      </c>
    </row>
    <row r="172" spans="2:10">
      <c r="B172" s="179" t="s">
        <v>259</v>
      </c>
      <c r="C172" s="1064" t="s">
        <v>384</v>
      </c>
      <c r="D172" s="1064"/>
      <c r="E172" s="1064"/>
      <c r="F172" s="1064"/>
      <c r="G172" s="1064"/>
      <c r="H172" s="1064"/>
      <c r="I172" s="1064"/>
      <c r="J172" s="129">
        <f>J62</f>
        <v>0</v>
      </c>
    </row>
    <row r="173" spans="2:10">
      <c r="B173" s="179" t="s">
        <v>261</v>
      </c>
      <c r="C173" s="1064" t="s">
        <v>101</v>
      </c>
      <c r="D173" s="1064"/>
      <c r="E173" s="1064"/>
      <c r="F173" s="1064"/>
      <c r="G173" s="1064"/>
      <c r="H173" s="1064"/>
      <c r="I173" s="1064"/>
      <c r="J173" s="129">
        <f>J75</f>
        <v>0</v>
      </c>
    </row>
    <row r="174" spans="2:10">
      <c r="B174" s="179" t="s">
        <v>263</v>
      </c>
      <c r="C174" s="1064" t="s">
        <v>481</v>
      </c>
      <c r="D174" s="1064"/>
      <c r="E174" s="1064"/>
      <c r="F174" s="1064"/>
      <c r="G174" s="1064"/>
      <c r="H174" s="1064"/>
      <c r="I174" s="1064"/>
      <c r="J174" s="129">
        <f>J86</f>
        <v>0</v>
      </c>
    </row>
    <row r="175" spans="2:10">
      <c r="B175" s="179" t="s">
        <v>264</v>
      </c>
      <c r="C175" s="1064" t="s">
        <v>372</v>
      </c>
      <c r="D175" s="1064"/>
      <c r="E175" s="1064"/>
      <c r="F175" s="1064"/>
      <c r="G175" s="1064"/>
      <c r="H175" s="1064"/>
      <c r="I175" s="1064"/>
      <c r="J175" s="129">
        <f>J145</f>
        <v>0</v>
      </c>
    </row>
    <row r="176" spans="2:10">
      <c r="B176" s="1065" t="s">
        <v>115</v>
      </c>
      <c r="C176" s="1065"/>
      <c r="D176" s="1065"/>
      <c r="E176" s="1065"/>
      <c r="F176" s="1065"/>
      <c r="G176" s="1065"/>
      <c r="H176" s="1065"/>
      <c r="I176" s="1065"/>
      <c r="J176" s="144">
        <f>SUM(J172:J175)</f>
        <v>0</v>
      </c>
    </row>
    <row r="177" spans="2:10">
      <c r="B177" s="180" t="s">
        <v>272</v>
      </c>
      <c r="C177" s="1064" t="s">
        <v>103</v>
      </c>
      <c r="D177" s="1064"/>
      <c r="E177" s="1064"/>
      <c r="F177" s="1064"/>
      <c r="G177" s="1064"/>
      <c r="H177" s="1064"/>
      <c r="I177" s="1064"/>
      <c r="J177" s="129">
        <f>J161</f>
        <v>0</v>
      </c>
    </row>
    <row r="178" spans="2:10">
      <c r="B178" s="1065" t="s">
        <v>26</v>
      </c>
      <c r="C178" s="1065"/>
      <c r="D178" s="1065"/>
      <c r="E178" s="1065"/>
      <c r="F178" s="1065"/>
      <c r="G178" s="1065"/>
      <c r="H178" s="1065"/>
      <c r="I178" s="1065"/>
      <c r="J178" s="144">
        <f>SUM(J176:J177)</f>
        <v>0</v>
      </c>
    </row>
    <row r="179" spans="2:10" ht="15" hidden="1">
      <c r="B179" s="1062" t="s">
        <v>307</v>
      </c>
      <c r="C179" s="1062"/>
      <c r="D179" s="1062"/>
      <c r="E179" s="1062"/>
      <c r="F179" s="1062"/>
      <c r="G179" s="1062"/>
      <c r="H179" s="1062"/>
      <c r="I179" s="1062"/>
      <c r="J179" s="1062"/>
    </row>
    <row r="180" spans="2:10" ht="15.75" hidden="1">
      <c r="B180" s="1059" t="s">
        <v>28</v>
      </c>
      <c r="C180" s="1059"/>
      <c r="D180" s="1059"/>
      <c r="E180" s="1059"/>
      <c r="F180" s="1059"/>
      <c r="G180" s="1059"/>
      <c r="H180" s="1059"/>
      <c r="I180" s="1059"/>
      <c r="J180" s="1059"/>
    </row>
    <row r="181" spans="2:10" ht="48" hidden="1">
      <c r="B181" s="1063" t="s">
        <v>117</v>
      </c>
      <c r="C181" s="1063"/>
      <c r="D181" s="1060" t="s">
        <v>116</v>
      </c>
      <c r="E181" s="1060"/>
      <c r="F181" s="182" t="s">
        <v>118</v>
      </c>
      <c r="G181" s="1060" t="s">
        <v>119</v>
      </c>
      <c r="H181" s="1060"/>
      <c r="I181" s="181" t="s">
        <v>120</v>
      </c>
      <c r="J181" s="181" t="s">
        <v>121</v>
      </c>
    </row>
    <row r="182" spans="2:10" hidden="1">
      <c r="B182" s="1052" t="s">
        <v>122</v>
      </c>
      <c r="C182" s="1052"/>
      <c r="D182" s="1050" t="s">
        <v>305</v>
      </c>
      <c r="E182" s="1050"/>
      <c r="F182" s="184"/>
      <c r="G182" s="1050" t="s">
        <v>305</v>
      </c>
      <c r="H182" s="1050"/>
      <c r="I182" s="185"/>
      <c r="J182" s="183" t="s">
        <v>305</v>
      </c>
    </row>
    <row r="183" spans="2:10" hidden="1">
      <c r="B183" s="1052" t="s">
        <v>304</v>
      </c>
      <c r="C183" s="1052"/>
      <c r="D183" s="1050" t="s">
        <v>305</v>
      </c>
      <c r="E183" s="1050"/>
      <c r="F183" s="184"/>
      <c r="G183" s="1050" t="s">
        <v>305</v>
      </c>
      <c r="H183" s="1050"/>
      <c r="I183" s="185"/>
      <c r="J183" s="183" t="s">
        <v>305</v>
      </c>
    </row>
    <row r="184" spans="2:10" hidden="1">
      <c r="B184" s="1052" t="s">
        <v>303</v>
      </c>
      <c r="C184" s="1052"/>
      <c r="D184" s="1050" t="s">
        <v>305</v>
      </c>
      <c r="E184" s="1050"/>
      <c r="F184" s="183"/>
      <c r="G184" s="1050" t="s">
        <v>305</v>
      </c>
      <c r="H184" s="1050"/>
      <c r="I184" s="183"/>
      <c r="J184" s="183" t="s">
        <v>305</v>
      </c>
    </row>
    <row r="185" spans="2:10" hidden="1">
      <c r="B185" s="1061" t="s">
        <v>29</v>
      </c>
      <c r="C185" s="1061"/>
      <c r="D185" s="1061"/>
      <c r="E185" s="1061"/>
      <c r="F185" s="1061"/>
      <c r="G185" s="1061"/>
      <c r="H185" s="1061"/>
      <c r="I185" s="1061"/>
      <c r="J185" s="183"/>
    </row>
    <row r="186" spans="2:10" ht="15.75" hidden="1">
      <c r="B186" s="1059" t="s">
        <v>30</v>
      </c>
      <c r="C186" s="1059"/>
      <c r="D186" s="1059"/>
      <c r="E186" s="1059"/>
      <c r="F186" s="1059"/>
      <c r="G186" s="1059"/>
      <c r="H186" s="1059"/>
      <c r="I186" s="1059"/>
      <c r="J186" s="1059"/>
    </row>
    <row r="187" spans="2:10" ht="15.75" hidden="1">
      <c r="B187" s="1059" t="s">
        <v>31</v>
      </c>
      <c r="C187" s="1059"/>
      <c r="D187" s="1059"/>
      <c r="E187" s="1059"/>
      <c r="F187" s="1059"/>
      <c r="G187" s="1059"/>
      <c r="H187" s="1059"/>
      <c r="I187" s="1059"/>
      <c r="J187" s="1059"/>
    </row>
    <row r="188" spans="2:10" hidden="1">
      <c r="B188" s="1060" t="s">
        <v>123</v>
      </c>
      <c r="C188" s="1060"/>
      <c r="D188" s="1060"/>
      <c r="E188" s="1060"/>
      <c r="F188" s="1060"/>
      <c r="G188" s="1060"/>
      <c r="H188" s="1060"/>
      <c r="I188" s="1060"/>
      <c r="J188" s="181" t="s">
        <v>127</v>
      </c>
    </row>
    <row r="189" spans="2:10" hidden="1">
      <c r="B189" s="186" t="s">
        <v>259</v>
      </c>
      <c r="C189" s="1050" t="s">
        <v>32</v>
      </c>
      <c r="D189" s="1050"/>
      <c r="E189" s="1050"/>
      <c r="F189" s="1050"/>
      <c r="G189" s="1050"/>
      <c r="H189" s="1050"/>
      <c r="I189" s="1050"/>
      <c r="J189" s="183"/>
    </row>
    <row r="190" spans="2:10" hidden="1">
      <c r="B190" s="186" t="s">
        <v>261</v>
      </c>
      <c r="C190" s="1050" t="s">
        <v>124</v>
      </c>
      <c r="D190" s="1050"/>
      <c r="E190" s="1050"/>
      <c r="F190" s="1050"/>
      <c r="G190" s="1050"/>
      <c r="H190" s="1050"/>
      <c r="I190" s="1050"/>
      <c r="J190" s="183"/>
    </row>
    <row r="191" spans="2:10" hidden="1">
      <c r="B191" s="186" t="s">
        <v>263</v>
      </c>
      <c r="C191" s="1050" t="s">
        <v>33</v>
      </c>
      <c r="D191" s="1050"/>
      <c r="E191" s="1050"/>
      <c r="F191" s="1050"/>
      <c r="G191" s="1050"/>
      <c r="H191" s="1050"/>
      <c r="I191" s="1050"/>
      <c r="J191" s="183"/>
    </row>
    <row r="192" spans="2:10" hidden="1">
      <c r="B192" s="1051"/>
      <c r="C192" s="1051"/>
      <c r="D192" s="1051"/>
      <c r="E192" s="1051"/>
      <c r="F192" s="1051"/>
      <c r="G192" s="1051"/>
      <c r="H192" s="1051"/>
      <c r="I192" s="1051"/>
      <c r="J192" s="1051"/>
    </row>
    <row r="193" spans="2:13" hidden="1">
      <c r="B193" s="1052" t="s">
        <v>34</v>
      </c>
      <c r="C193" s="1052"/>
      <c r="D193" s="1052"/>
      <c r="E193" s="1052"/>
      <c r="F193" s="1052"/>
      <c r="G193" s="1052"/>
      <c r="H193" s="1052"/>
      <c r="I193" s="1052"/>
      <c r="J193" s="1052"/>
    </row>
    <row r="194" spans="2:13" hidden="1">
      <c r="B194" s="1045"/>
      <c r="C194" s="1045"/>
      <c r="D194" s="1045"/>
      <c r="E194" s="1045"/>
      <c r="F194" s="1045"/>
      <c r="G194" s="1045"/>
      <c r="H194" s="1045"/>
      <c r="I194" s="1045"/>
      <c r="J194" s="1045"/>
    </row>
    <row r="195" spans="2:13">
      <c r="B195" s="1049"/>
      <c r="C195" s="1049"/>
      <c r="D195" s="1049"/>
      <c r="E195" s="1049"/>
      <c r="F195" s="1049"/>
      <c r="G195" s="1049"/>
      <c r="H195" s="1049"/>
      <c r="I195" s="1049"/>
      <c r="J195" s="1049"/>
    </row>
    <row r="196" spans="2:13" ht="15">
      <c r="B196" s="1046" t="s">
        <v>306</v>
      </c>
      <c r="C196" s="1046"/>
      <c r="D196" s="1046"/>
      <c r="E196" s="1046"/>
      <c r="F196" s="1046"/>
      <c r="G196" s="1046"/>
      <c r="H196" s="1046"/>
      <c r="I196" s="1046"/>
      <c r="J196" s="1046"/>
      <c r="M196" s="281"/>
    </row>
    <row r="197" spans="2:13" ht="15.75">
      <c r="B197" s="1047" t="s">
        <v>162</v>
      </c>
      <c r="C197" s="1047"/>
      <c r="D197" s="1047"/>
      <c r="E197" s="1047"/>
      <c r="F197" s="1047"/>
      <c r="G197" s="1047"/>
      <c r="H197" s="1047"/>
      <c r="I197" s="1047"/>
      <c r="J197" s="1047"/>
      <c r="M197" s="281"/>
    </row>
    <row r="198" spans="2:13" ht="18">
      <c r="B198" s="282" t="s">
        <v>526</v>
      </c>
      <c r="C198" s="283"/>
      <c r="D198" s="283"/>
      <c r="E198" s="283"/>
      <c r="F198" s="283"/>
      <c r="G198" s="283"/>
      <c r="H198" s="283"/>
      <c r="I198" s="283"/>
      <c r="J198" s="284"/>
      <c r="M198" s="281"/>
    </row>
    <row r="199" spans="2:13">
      <c r="B199" s="1142" t="s">
        <v>517</v>
      </c>
      <c r="C199" s="1142"/>
      <c r="D199" s="1142"/>
      <c r="E199" s="1142"/>
      <c r="F199" s="1142"/>
      <c r="G199" s="1142"/>
      <c r="H199" s="1142"/>
      <c r="I199" s="1058" t="s">
        <v>518</v>
      </c>
      <c r="J199" s="1058"/>
      <c r="M199" s="281"/>
    </row>
    <row r="200" spans="2:13" hidden="1">
      <c r="B200" s="868" t="s">
        <v>537</v>
      </c>
      <c r="C200" s="869"/>
      <c r="D200" s="870"/>
      <c r="E200" s="1053" t="s">
        <v>529</v>
      </c>
      <c r="F200" s="1054"/>
      <c r="G200" s="1054"/>
      <c r="H200" s="1055"/>
      <c r="I200" s="867">
        <v>0</v>
      </c>
      <c r="J200" s="867"/>
    </row>
    <row r="201" spans="2:13">
      <c r="B201" s="871"/>
      <c r="C201" s="872"/>
      <c r="D201" s="873"/>
      <c r="E201" s="1053" t="s">
        <v>519</v>
      </c>
      <c r="F201" s="1054"/>
      <c r="G201" s="1054"/>
      <c r="H201" s="1055"/>
      <c r="I201" s="867">
        <v>1094</v>
      </c>
      <c r="J201" s="867"/>
    </row>
    <row r="202" spans="2:13" hidden="1">
      <c r="B202" s="871"/>
      <c r="C202" s="872"/>
      <c r="D202" s="873"/>
      <c r="E202" s="1053" t="s">
        <v>530</v>
      </c>
      <c r="F202" s="1054"/>
      <c r="G202" s="1054"/>
      <c r="H202" s="1055"/>
      <c r="I202" s="867">
        <v>0</v>
      </c>
      <c r="J202" s="867"/>
    </row>
    <row r="203" spans="2:13">
      <c r="B203" s="871"/>
      <c r="C203" s="872"/>
      <c r="D203" s="873"/>
      <c r="E203" s="1053" t="s">
        <v>520</v>
      </c>
      <c r="F203" s="1054"/>
      <c r="G203" s="1054"/>
      <c r="H203" s="1055"/>
      <c r="I203" s="867">
        <v>1662</v>
      </c>
      <c r="J203" s="867"/>
    </row>
    <row r="204" spans="2:13" hidden="1">
      <c r="B204" s="871"/>
      <c r="C204" s="872"/>
      <c r="D204" s="873"/>
      <c r="E204" s="1053" t="s">
        <v>531</v>
      </c>
      <c r="F204" s="1054"/>
      <c r="G204" s="1054"/>
      <c r="H204" s="1055"/>
      <c r="I204" s="867">
        <v>0</v>
      </c>
      <c r="J204" s="867"/>
    </row>
    <row r="205" spans="2:13">
      <c r="B205" s="874"/>
      <c r="C205" s="875"/>
      <c r="D205" s="876"/>
      <c r="E205" s="1053" t="s">
        <v>521</v>
      </c>
      <c r="F205" s="1054"/>
      <c r="G205" s="1054"/>
      <c r="H205" s="1055"/>
      <c r="I205" s="867">
        <v>1067</v>
      </c>
      <c r="J205" s="867"/>
    </row>
    <row r="206" spans="2:13">
      <c r="B206" s="877" t="s">
        <v>538</v>
      </c>
      <c r="C206" s="878"/>
      <c r="D206" s="879"/>
      <c r="E206" s="1056" t="s">
        <v>524</v>
      </c>
      <c r="F206" s="744"/>
      <c r="G206" s="744"/>
      <c r="H206" s="745"/>
      <c r="I206" s="867">
        <v>1200</v>
      </c>
      <c r="J206" s="867"/>
    </row>
    <row r="207" spans="2:13" hidden="1">
      <c r="B207" s="880"/>
      <c r="C207" s="881"/>
      <c r="D207" s="882"/>
      <c r="E207" s="1056" t="s">
        <v>532</v>
      </c>
      <c r="F207" s="744"/>
      <c r="G207" s="744"/>
      <c r="H207" s="745"/>
      <c r="I207" s="867">
        <v>0</v>
      </c>
      <c r="J207" s="867"/>
    </row>
    <row r="208" spans="2:13" hidden="1">
      <c r="B208" s="880"/>
      <c r="C208" s="881"/>
      <c r="D208" s="882"/>
      <c r="E208" s="1056" t="s">
        <v>533</v>
      </c>
      <c r="F208" s="744"/>
      <c r="G208" s="744"/>
      <c r="H208" s="745"/>
      <c r="I208" s="867">
        <v>0</v>
      </c>
      <c r="J208" s="867"/>
    </row>
    <row r="209" spans="2:10" hidden="1">
      <c r="B209" s="880"/>
      <c r="C209" s="881"/>
      <c r="D209" s="882"/>
      <c r="E209" s="1056" t="s">
        <v>534</v>
      </c>
      <c r="F209" s="744"/>
      <c r="G209" s="744"/>
      <c r="H209" s="745"/>
      <c r="I209" s="867">
        <v>0</v>
      </c>
      <c r="J209" s="867"/>
    </row>
    <row r="210" spans="2:10" hidden="1">
      <c r="B210" s="880"/>
      <c r="C210" s="881"/>
      <c r="D210" s="882"/>
      <c r="E210" s="1056" t="s">
        <v>535</v>
      </c>
      <c r="F210" s="744"/>
      <c r="G210" s="744"/>
      <c r="H210" s="745"/>
      <c r="I210" s="867">
        <v>0</v>
      </c>
      <c r="J210" s="867"/>
    </row>
    <row r="211" spans="2:10" hidden="1">
      <c r="B211" s="883"/>
      <c r="C211" s="884"/>
      <c r="D211" s="885"/>
      <c r="E211" s="1056" t="s">
        <v>536</v>
      </c>
      <c r="F211" s="744"/>
      <c r="G211" s="744"/>
      <c r="H211" s="745"/>
      <c r="I211" s="867">
        <v>0</v>
      </c>
      <c r="J211" s="867"/>
    </row>
    <row r="212" spans="2:10">
      <c r="B212" s="886" t="s">
        <v>539</v>
      </c>
      <c r="C212" s="887"/>
      <c r="D212" s="888"/>
      <c r="E212" s="1057" t="s">
        <v>543</v>
      </c>
      <c r="F212" s="744"/>
      <c r="G212" s="744"/>
      <c r="H212" s="745"/>
      <c r="I212" s="867">
        <v>220</v>
      </c>
      <c r="J212" s="867"/>
    </row>
    <row r="213" spans="2:10">
      <c r="B213" s="889"/>
      <c r="C213" s="890"/>
      <c r="D213" s="891"/>
      <c r="E213" s="1057" t="s">
        <v>523</v>
      </c>
      <c r="F213" s="744"/>
      <c r="G213" s="744"/>
      <c r="H213" s="745"/>
      <c r="I213" s="867">
        <v>440</v>
      </c>
      <c r="J213" s="867"/>
    </row>
    <row r="214" spans="2:10">
      <c r="B214" s="892"/>
      <c r="C214" s="893"/>
      <c r="D214" s="894"/>
      <c r="E214" s="1057" t="s">
        <v>522</v>
      </c>
      <c r="F214" s="744"/>
      <c r="G214" s="744"/>
      <c r="H214" s="745"/>
      <c r="I214" s="867">
        <v>880</v>
      </c>
      <c r="J214" s="867"/>
    </row>
    <row r="215" spans="2:10" hidden="1">
      <c r="B215" s="861" t="e">
        <f>#REF!</f>
        <v>#REF!</v>
      </c>
      <c r="C215" s="862"/>
      <c r="D215" s="863"/>
      <c r="E215" s="1143" t="e">
        <f>#REF!</f>
        <v>#REF!</v>
      </c>
      <c r="F215" s="744"/>
      <c r="G215" s="744"/>
      <c r="H215" s="745"/>
      <c r="I215" s="867" t="e">
        <f>#REF!</f>
        <v>#REF!</v>
      </c>
      <c r="J215" s="867"/>
    </row>
    <row r="216" spans="2:10" hidden="1">
      <c r="B216" s="864" t="e">
        <f>#REF!</f>
        <v>#REF!</v>
      </c>
      <c r="C216" s="865"/>
      <c r="D216" s="866"/>
      <c r="E216" s="1144" t="e">
        <f>#REF!</f>
        <v>#REF!</v>
      </c>
      <c r="F216" s="744"/>
      <c r="G216" s="744"/>
      <c r="H216" s="745"/>
      <c r="I216" s="867" t="e">
        <f>#REF!</f>
        <v>#REF!</v>
      </c>
      <c r="J216" s="867"/>
    </row>
    <row r="217" spans="2:10">
      <c r="B217" s="19"/>
      <c r="C217" s="19"/>
      <c r="D217" s="19"/>
      <c r="E217" s="19"/>
      <c r="F217" s="19"/>
      <c r="G217" s="19"/>
      <c r="H217" s="19"/>
      <c r="I217" s="19"/>
      <c r="J217" s="189"/>
    </row>
    <row r="218" spans="2:10" ht="16.5">
      <c r="B218" s="1048" t="s">
        <v>48</v>
      </c>
      <c r="C218" s="1048"/>
      <c r="D218" s="1048"/>
      <c r="E218" s="1048"/>
      <c r="F218" s="1048"/>
      <c r="G218" s="1048"/>
      <c r="H218" s="1048"/>
      <c r="I218" s="1048"/>
      <c r="J218" s="1048"/>
    </row>
    <row r="219" spans="2:10" ht="3.75" customHeight="1">
      <c r="B219" s="258"/>
      <c r="C219" s="258"/>
      <c r="D219" s="258"/>
      <c r="E219" s="258"/>
      <c r="F219" s="258"/>
      <c r="G219" s="258"/>
      <c r="H219" s="258"/>
      <c r="I219" s="258"/>
      <c r="J219" s="258"/>
    </row>
    <row r="220" spans="2:10">
      <c r="B220" s="1040" t="s">
        <v>525</v>
      </c>
      <c r="C220" s="1040"/>
      <c r="D220" s="1040"/>
      <c r="E220" s="1040"/>
      <c r="F220" s="1040"/>
      <c r="G220" s="1040"/>
      <c r="H220" s="1040"/>
      <c r="I220" s="1040"/>
      <c r="J220" s="1040"/>
    </row>
    <row r="221" spans="2:10" ht="43.5" customHeight="1">
      <c r="B221" s="1041" t="s">
        <v>527</v>
      </c>
      <c r="C221" s="1042"/>
      <c r="D221" s="1043" t="s">
        <v>148</v>
      </c>
      <c r="E221" s="1043"/>
      <c r="F221" s="1043" t="s">
        <v>149</v>
      </c>
      <c r="G221" s="1043"/>
      <c r="H221" s="1043" t="s">
        <v>150</v>
      </c>
      <c r="I221" s="1043"/>
      <c r="J221" s="1044"/>
    </row>
    <row r="222" spans="2:10" hidden="1">
      <c r="B222" s="1012" t="s">
        <v>229</v>
      </c>
      <c r="C222" s="1013"/>
      <c r="D222" s="1014" t="s">
        <v>545</v>
      </c>
      <c r="E222" s="1014"/>
      <c r="F222" s="1037">
        <v>0</v>
      </c>
      <c r="G222" s="1037"/>
      <c r="H222" s="1014">
        <v>0</v>
      </c>
      <c r="I222" s="1014"/>
      <c r="J222" s="1024"/>
    </row>
    <row r="223" spans="2:10" hidden="1">
      <c r="B223" s="1012" t="s">
        <v>230</v>
      </c>
      <c r="C223" s="1013"/>
      <c r="D223" s="1014" t="str">
        <f>1&amp;"/"&amp;I200</f>
        <v>1/0</v>
      </c>
      <c r="E223" s="1014"/>
      <c r="F223" s="1015">
        <f>J178</f>
        <v>0</v>
      </c>
      <c r="G223" s="1015"/>
      <c r="H223" s="1016">
        <f>IF(ISERROR((1/I200)*F223),0,(1/I200)*F223)</f>
        <v>0</v>
      </c>
      <c r="I223" s="1016"/>
      <c r="J223" s="1017"/>
    </row>
    <row r="224" spans="2:10" hidden="1">
      <c r="B224" s="1038" t="s">
        <v>134</v>
      </c>
      <c r="C224" s="1039"/>
      <c r="D224" s="1039"/>
      <c r="E224" s="1039"/>
      <c r="F224" s="1039"/>
      <c r="G224" s="1039"/>
      <c r="H224" s="1016">
        <f>SUM(H222+H223)</f>
        <v>0</v>
      </c>
      <c r="I224" s="1016"/>
      <c r="J224" s="1017"/>
    </row>
    <row r="225" spans="2:10" hidden="1">
      <c r="B225" s="1032"/>
      <c r="C225" s="1033"/>
      <c r="D225" s="1033"/>
      <c r="E225" s="1033"/>
      <c r="F225" s="1033"/>
      <c r="G225" s="1033"/>
      <c r="H225" s="1033"/>
      <c r="I225" s="1033"/>
      <c r="J225" s="1034"/>
    </row>
    <row r="226" spans="2:10">
      <c r="B226" s="1027" t="s">
        <v>231</v>
      </c>
      <c r="C226" s="1028"/>
      <c r="D226" s="1014" t="s">
        <v>545</v>
      </c>
      <c r="E226" s="1014"/>
      <c r="F226" s="1023">
        <v>0</v>
      </c>
      <c r="G226" s="1023"/>
      <c r="H226" s="1014">
        <v>0</v>
      </c>
      <c r="I226" s="1014"/>
      <c r="J226" s="1024"/>
    </row>
    <row r="227" spans="2:10">
      <c r="B227" s="1012" t="s">
        <v>232</v>
      </c>
      <c r="C227" s="1013"/>
      <c r="D227" s="1014" t="str">
        <f>1&amp;"/"&amp;I201</f>
        <v>1/1094</v>
      </c>
      <c r="E227" s="1014"/>
      <c r="F227" s="1037">
        <f>J178</f>
        <v>0</v>
      </c>
      <c r="G227" s="1037"/>
      <c r="H227" s="1016">
        <f>IF(ISERROR((1/I201)*F227),0,(1/I201)*F227)</f>
        <v>0</v>
      </c>
      <c r="I227" s="1016"/>
      <c r="J227" s="1017"/>
    </row>
    <row r="228" spans="2:10">
      <c r="B228" s="1018" t="s">
        <v>134</v>
      </c>
      <c r="C228" s="1019"/>
      <c r="D228" s="1019"/>
      <c r="E228" s="1019"/>
      <c r="F228" s="1019"/>
      <c r="G228" s="1019"/>
      <c r="H228" s="1016">
        <f>SUM(H226+H227)</f>
        <v>0</v>
      </c>
      <c r="I228" s="1016"/>
      <c r="J228" s="1017"/>
    </row>
    <row r="229" spans="2:10" hidden="1">
      <c r="B229" s="1032"/>
      <c r="C229" s="1033"/>
      <c r="D229" s="1033"/>
      <c r="E229" s="1033"/>
      <c r="F229" s="1033"/>
      <c r="G229" s="1033"/>
      <c r="H229" s="1033"/>
      <c r="I229" s="1033"/>
      <c r="J229" s="1034"/>
    </row>
    <row r="230" spans="2:10" hidden="1">
      <c r="B230" s="1027" t="s">
        <v>245</v>
      </c>
      <c r="C230" s="1028"/>
      <c r="D230" s="1014" t="s">
        <v>545</v>
      </c>
      <c r="E230" s="1014"/>
      <c r="F230" s="1029">
        <v>0</v>
      </c>
      <c r="G230" s="1029"/>
      <c r="H230" s="1014">
        <v>0</v>
      </c>
      <c r="I230" s="1014"/>
      <c r="J230" s="1024"/>
    </row>
    <row r="231" spans="2:10" hidden="1">
      <c r="B231" s="1012" t="s">
        <v>233</v>
      </c>
      <c r="C231" s="1013"/>
      <c r="D231" s="1014" t="str">
        <f>1&amp;"/"&amp;I202</f>
        <v>1/0</v>
      </c>
      <c r="E231" s="1014"/>
      <c r="F231" s="1015">
        <f>J178</f>
        <v>0</v>
      </c>
      <c r="G231" s="1025"/>
      <c r="H231" s="1016">
        <f>IF(ISERROR((1/I202)*F231),0,(1/I202)*F231)</f>
        <v>0</v>
      </c>
      <c r="I231" s="1016"/>
      <c r="J231" s="1017"/>
    </row>
    <row r="232" spans="2:10" hidden="1">
      <c r="B232" s="1018" t="s">
        <v>134</v>
      </c>
      <c r="C232" s="1019"/>
      <c r="D232" s="1019"/>
      <c r="E232" s="1019"/>
      <c r="F232" s="1019"/>
      <c r="G232" s="1019"/>
      <c r="H232" s="1016">
        <f>SUM(H230+H231)</f>
        <v>0</v>
      </c>
      <c r="I232" s="1016"/>
      <c r="J232" s="1017"/>
    </row>
    <row r="233" spans="2:10">
      <c r="B233" s="1032"/>
      <c r="C233" s="1033"/>
      <c r="D233" s="1033"/>
      <c r="E233" s="1033"/>
      <c r="F233" s="1033"/>
      <c r="G233" s="1033"/>
      <c r="H233" s="1033"/>
      <c r="I233" s="1033"/>
      <c r="J233" s="1034"/>
    </row>
    <row r="234" spans="2:10">
      <c r="B234" s="1035" t="s">
        <v>246</v>
      </c>
      <c r="C234" s="1036"/>
      <c r="D234" s="1014" t="s">
        <v>545</v>
      </c>
      <c r="E234" s="1014"/>
      <c r="F234" s="1023">
        <v>0</v>
      </c>
      <c r="G234" s="1023"/>
      <c r="H234" s="1014">
        <v>0</v>
      </c>
      <c r="I234" s="1014"/>
      <c r="J234" s="1024"/>
    </row>
    <row r="235" spans="2:10">
      <c r="B235" s="1030" t="s">
        <v>540</v>
      </c>
      <c r="C235" s="1031"/>
      <c r="D235" s="1014" t="str">
        <f>1&amp;"/"&amp;I203</f>
        <v>1/1662</v>
      </c>
      <c r="E235" s="1014"/>
      <c r="F235" s="1015">
        <f>J178</f>
        <v>0</v>
      </c>
      <c r="G235" s="1015"/>
      <c r="H235" s="1016">
        <f>IF(ISERROR((1/I203)*F235),0,(1/I203)*F235)</f>
        <v>0</v>
      </c>
      <c r="I235" s="1016"/>
      <c r="J235" s="1017"/>
    </row>
    <row r="236" spans="2:10">
      <c r="B236" s="1018" t="s">
        <v>134</v>
      </c>
      <c r="C236" s="1019"/>
      <c r="D236" s="1019"/>
      <c r="E236" s="1019"/>
      <c r="F236" s="1019"/>
      <c r="G236" s="1019"/>
      <c r="H236" s="1026">
        <f>SUM(H234+H235)</f>
        <v>0</v>
      </c>
      <c r="I236" s="1026"/>
      <c r="J236" s="1017"/>
    </row>
    <row r="237" spans="2:10">
      <c r="B237" s="1020"/>
      <c r="C237" s="1021"/>
      <c r="D237" s="1021"/>
      <c r="E237" s="1021"/>
      <c r="F237" s="1021"/>
      <c r="G237" s="1021"/>
      <c r="H237" s="1021"/>
      <c r="I237" s="1021"/>
      <c r="J237" s="1022"/>
    </row>
    <row r="238" spans="2:10" hidden="1">
      <c r="B238" s="1027" t="s">
        <v>247</v>
      </c>
      <c r="C238" s="1028"/>
      <c r="D238" s="1014" t="s">
        <v>545</v>
      </c>
      <c r="E238" s="1014"/>
      <c r="F238" s="1029">
        <v>0</v>
      </c>
      <c r="G238" s="1029"/>
      <c r="H238" s="1014">
        <v>0</v>
      </c>
      <c r="I238" s="1014"/>
      <c r="J238" s="1024"/>
    </row>
    <row r="239" spans="2:10" hidden="1">
      <c r="B239" s="1012" t="s">
        <v>234</v>
      </c>
      <c r="C239" s="1013"/>
      <c r="D239" s="1014" t="str">
        <f>1&amp;"/"&amp;I204</f>
        <v>1/0</v>
      </c>
      <c r="E239" s="1014"/>
      <c r="F239" s="1015">
        <f>J178</f>
        <v>0</v>
      </c>
      <c r="G239" s="1025"/>
      <c r="H239" s="1016">
        <f>IF(ISERROR((1/I204)*F239),0,(1/I204)*F239)</f>
        <v>0</v>
      </c>
      <c r="I239" s="1016"/>
      <c r="J239" s="1017"/>
    </row>
    <row r="240" spans="2:10" hidden="1">
      <c r="B240" s="1018" t="s">
        <v>134</v>
      </c>
      <c r="C240" s="1019"/>
      <c r="D240" s="1019"/>
      <c r="E240" s="1019"/>
      <c r="F240" s="1019"/>
      <c r="G240" s="1019"/>
      <c r="H240" s="1016">
        <f>SUM(H238+H239)</f>
        <v>0</v>
      </c>
      <c r="I240" s="1016"/>
      <c r="J240" s="1017"/>
    </row>
    <row r="241" spans="2:10" hidden="1">
      <c r="B241" s="1020"/>
      <c r="C241" s="1021"/>
      <c r="D241" s="1021"/>
      <c r="E241" s="1021"/>
      <c r="F241" s="1021"/>
      <c r="G241" s="1021"/>
      <c r="H241" s="1021"/>
      <c r="I241" s="1021"/>
      <c r="J241" s="1022"/>
    </row>
    <row r="242" spans="2:10">
      <c r="B242" s="1012" t="s">
        <v>248</v>
      </c>
      <c r="C242" s="1013"/>
      <c r="D242" s="1014" t="s">
        <v>545</v>
      </c>
      <c r="E242" s="1014"/>
      <c r="F242" s="1023">
        <v>0</v>
      </c>
      <c r="G242" s="1023"/>
      <c r="H242" s="1014">
        <v>0</v>
      </c>
      <c r="I242" s="1014"/>
      <c r="J242" s="1024"/>
    </row>
    <row r="243" spans="2:10">
      <c r="B243" s="1012" t="s">
        <v>235</v>
      </c>
      <c r="C243" s="1013"/>
      <c r="D243" s="1014" t="str">
        <f>1&amp;"/"&amp;I205</f>
        <v>1/1067</v>
      </c>
      <c r="E243" s="1014"/>
      <c r="F243" s="1015">
        <f>J178</f>
        <v>0</v>
      </c>
      <c r="G243" s="1015"/>
      <c r="H243" s="1016">
        <f>IF(ISERROR((1/I205)*F243),0,(1/I205)*F243)</f>
        <v>0</v>
      </c>
      <c r="I243" s="1016"/>
      <c r="J243" s="1017"/>
    </row>
    <row r="244" spans="2:10">
      <c r="B244" s="1002" t="s">
        <v>134</v>
      </c>
      <c r="C244" s="1003"/>
      <c r="D244" s="1003"/>
      <c r="E244" s="1003"/>
      <c r="F244" s="1003"/>
      <c r="G244" s="1003"/>
      <c r="H244" s="1004">
        <f>SUM(H242+H243)</f>
        <v>0</v>
      </c>
      <c r="I244" s="1004"/>
      <c r="J244" s="1005"/>
    </row>
    <row r="245" spans="2:10">
      <c r="B245" s="1006"/>
      <c r="C245" s="1007"/>
      <c r="D245" s="1007"/>
      <c r="E245" s="1007"/>
      <c r="F245" s="1007"/>
      <c r="G245" s="1007"/>
      <c r="H245" s="1007"/>
      <c r="I245" s="1007"/>
      <c r="J245" s="1008"/>
    </row>
    <row r="246" spans="2:10" ht="3.75" customHeight="1">
      <c r="B246" s="334"/>
      <c r="C246" s="334"/>
      <c r="D246" s="334"/>
      <c r="E246" s="334"/>
      <c r="F246" s="334"/>
      <c r="G246" s="334"/>
      <c r="H246" s="334"/>
      <c r="I246" s="334"/>
      <c r="J246" s="334"/>
    </row>
    <row r="247" spans="2:10">
      <c r="B247" s="1009" t="s">
        <v>528</v>
      </c>
      <c r="C247" s="1010"/>
      <c r="D247" s="1010"/>
      <c r="E247" s="1010"/>
      <c r="F247" s="1010"/>
      <c r="G247" s="1010"/>
      <c r="H247" s="1010"/>
      <c r="I247" s="1010"/>
      <c r="J247" s="1011"/>
    </row>
    <row r="248" spans="2:10" ht="39.75" customHeight="1">
      <c r="B248" s="1000" t="s">
        <v>541</v>
      </c>
      <c r="C248" s="1000"/>
      <c r="D248" s="1001" t="s">
        <v>151</v>
      </c>
      <c r="E248" s="1001"/>
      <c r="F248" s="1001" t="s">
        <v>152</v>
      </c>
      <c r="G248" s="1001"/>
      <c r="H248" s="1001" t="s">
        <v>150</v>
      </c>
      <c r="I248" s="1001"/>
      <c r="J248" s="1001"/>
    </row>
    <row r="249" spans="2:10" ht="36" customHeight="1">
      <c r="B249" s="995" t="s">
        <v>249</v>
      </c>
      <c r="C249" s="995"/>
      <c r="D249" s="993" t="s">
        <v>546</v>
      </c>
      <c r="E249" s="993"/>
      <c r="F249" s="988">
        <v>0</v>
      </c>
      <c r="G249" s="988"/>
      <c r="H249" s="988">
        <f>ROUND((1/1200)*F249,2)</f>
        <v>0</v>
      </c>
      <c r="I249" s="988"/>
      <c r="J249" s="988"/>
    </row>
    <row r="250" spans="2:10" ht="42.75" customHeight="1">
      <c r="B250" s="995" t="s">
        <v>236</v>
      </c>
      <c r="C250" s="995"/>
      <c r="D250" s="987" t="str">
        <f>1&amp;"/"&amp;I206</f>
        <v>1/1200</v>
      </c>
      <c r="E250" s="987"/>
      <c r="F250" s="988">
        <f>J178</f>
        <v>0</v>
      </c>
      <c r="G250" s="988"/>
      <c r="H250" s="988">
        <f>IF(ISERROR((1/I206)*F250),0,(1/I206)*F250)</f>
        <v>0</v>
      </c>
      <c r="I250" s="988"/>
      <c r="J250" s="988"/>
    </row>
    <row r="251" spans="2:10">
      <c r="B251" s="983" t="s">
        <v>134</v>
      </c>
      <c r="C251" s="983"/>
      <c r="D251" s="983"/>
      <c r="E251" s="983"/>
      <c r="F251" s="983"/>
      <c r="G251" s="983"/>
      <c r="H251" s="984">
        <f>SUM(H249+H250)</f>
        <v>0</v>
      </c>
      <c r="I251" s="984"/>
      <c r="J251" s="984"/>
    </row>
    <row r="252" spans="2:10" hidden="1">
      <c r="B252" s="999"/>
      <c r="C252" s="999"/>
      <c r="D252" s="999"/>
      <c r="E252" s="999"/>
      <c r="F252" s="999"/>
      <c r="G252" s="999"/>
      <c r="H252" s="999"/>
      <c r="I252" s="999"/>
      <c r="J252" s="999"/>
    </row>
    <row r="253" spans="2:10" hidden="1">
      <c r="B253" s="997" t="s">
        <v>250</v>
      </c>
      <c r="C253" s="997"/>
      <c r="D253" s="993" t="s">
        <v>546</v>
      </c>
      <c r="E253" s="993"/>
      <c r="F253" s="994">
        <v>0</v>
      </c>
      <c r="G253" s="994"/>
      <c r="H253" s="988">
        <f>ROUND((1/1200)*F253,2)</f>
        <v>0</v>
      </c>
      <c r="I253" s="988"/>
      <c r="J253" s="988"/>
    </row>
    <row r="254" spans="2:10" hidden="1">
      <c r="B254" s="995" t="s">
        <v>237</v>
      </c>
      <c r="C254" s="995"/>
      <c r="D254" s="987" t="str">
        <f>1&amp;"/"&amp;I207</f>
        <v>1/0</v>
      </c>
      <c r="E254" s="987"/>
      <c r="F254" s="988">
        <f>J178</f>
        <v>0</v>
      </c>
      <c r="G254" s="988"/>
      <c r="H254" s="988">
        <f>IF(ISERROR((1/I207)*F254),0,(1/I207)*F254)</f>
        <v>0</v>
      </c>
      <c r="I254" s="988"/>
      <c r="J254" s="988"/>
    </row>
    <row r="255" spans="2:10" hidden="1">
      <c r="B255" s="983" t="s">
        <v>134</v>
      </c>
      <c r="C255" s="983"/>
      <c r="D255" s="983"/>
      <c r="E255" s="983"/>
      <c r="F255" s="983"/>
      <c r="G255" s="983"/>
      <c r="H255" s="984">
        <f>SUM(H253+H254)</f>
        <v>0</v>
      </c>
      <c r="I255" s="984"/>
      <c r="J255" s="984"/>
    </row>
    <row r="256" spans="2:10" hidden="1">
      <c r="B256" s="991"/>
      <c r="C256" s="991"/>
      <c r="D256" s="991"/>
      <c r="E256" s="991"/>
      <c r="F256" s="991"/>
      <c r="G256" s="991"/>
      <c r="H256" s="991"/>
      <c r="I256" s="991"/>
      <c r="J256" s="991"/>
    </row>
    <row r="257" spans="2:10" hidden="1">
      <c r="B257" s="997" t="s">
        <v>251</v>
      </c>
      <c r="C257" s="997"/>
      <c r="D257" s="993" t="s">
        <v>546</v>
      </c>
      <c r="E257" s="993"/>
      <c r="F257" s="994">
        <v>0</v>
      </c>
      <c r="G257" s="994"/>
      <c r="H257" s="998">
        <f>ROUND((1/1200)*F257,2)</f>
        <v>0</v>
      </c>
      <c r="I257" s="998"/>
      <c r="J257" s="998"/>
    </row>
    <row r="258" spans="2:10" hidden="1">
      <c r="B258" s="995" t="s">
        <v>238</v>
      </c>
      <c r="C258" s="995"/>
      <c r="D258" s="987" t="str">
        <f>1&amp;"/"&amp;I208</f>
        <v>1/0</v>
      </c>
      <c r="E258" s="987"/>
      <c r="F258" s="988">
        <f>J178</f>
        <v>0</v>
      </c>
      <c r="G258" s="988"/>
      <c r="H258" s="988">
        <f>IF(ISERROR((1/I208)*F258),0,(1/I208)*F258)</f>
        <v>0</v>
      </c>
      <c r="I258" s="988"/>
      <c r="J258" s="988"/>
    </row>
    <row r="259" spans="2:10" hidden="1">
      <c r="B259" s="983" t="s">
        <v>134</v>
      </c>
      <c r="C259" s="983"/>
      <c r="D259" s="983"/>
      <c r="E259" s="983"/>
      <c r="F259" s="983"/>
      <c r="G259" s="983"/>
      <c r="H259" s="984">
        <f>SUM(H257+H258)</f>
        <v>0</v>
      </c>
      <c r="I259" s="984"/>
      <c r="J259" s="984"/>
    </row>
    <row r="260" spans="2:10" hidden="1">
      <c r="B260" s="991"/>
      <c r="C260" s="991"/>
      <c r="D260" s="991"/>
      <c r="E260" s="991"/>
      <c r="F260" s="991"/>
      <c r="G260" s="991"/>
      <c r="H260" s="991"/>
      <c r="I260" s="991"/>
      <c r="J260" s="991"/>
    </row>
    <row r="261" spans="2:10" hidden="1">
      <c r="B261" s="997" t="s">
        <v>213</v>
      </c>
      <c r="C261" s="997"/>
      <c r="D261" s="993" t="s">
        <v>546</v>
      </c>
      <c r="E261" s="993"/>
      <c r="F261" s="994">
        <v>0</v>
      </c>
      <c r="G261" s="994"/>
      <c r="H261" s="988">
        <f>ROUND((1/1200)*F261,2)</f>
        <v>0</v>
      </c>
      <c r="I261" s="988"/>
      <c r="J261" s="988"/>
    </row>
    <row r="262" spans="2:10" hidden="1">
      <c r="B262" s="995" t="s">
        <v>239</v>
      </c>
      <c r="C262" s="995"/>
      <c r="D262" s="987" t="str">
        <f>1&amp;"/"&amp;I209</f>
        <v>1/0</v>
      </c>
      <c r="E262" s="987"/>
      <c r="F262" s="988">
        <f>J178</f>
        <v>0</v>
      </c>
      <c r="G262" s="988"/>
      <c r="H262" s="988">
        <f>IF(ISERROR((1/I209)*F262),0,(1/I209)*F262)</f>
        <v>0</v>
      </c>
      <c r="I262" s="988"/>
      <c r="J262" s="988"/>
    </row>
    <row r="263" spans="2:10" hidden="1">
      <c r="B263" s="983" t="s">
        <v>134</v>
      </c>
      <c r="C263" s="983"/>
      <c r="D263" s="983"/>
      <c r="E263" s="983"/>
      <c r="F263" s="983"/>
      <c r="G263" s="983"/>
      <c r="H263" s="984">
        <f>SUM(H261+H262)</f>
        <v>0</v>
      </c>
      <c r="I263" s="984"/>
      <c r="J263" s="984"/>
    </row>
    <row r="264" spans="2:10" hidden="1">
      <c r="B264" s="996"/>
      <c r="C264" s="996"/>
      <c r="D264" s="996"/>
      <c r="E264" s="996"/>
      <c r="F264" s="996"/>
      <c r="G264" s="996"/>
      <c r="H264" s="996"/>
      <c r="I264" s="996"/>
      <c r="J264" s="996"/>
    </row>
    <row r="265" spans="2:10" hidden="1">
      <c r="B265" s="997" t="s">
        <v>252</v>
      </c>
      <c r="C265" s="997"/>
      <c r="D265" s="993" t="s">
        <v>546</v>
      </c>
      <c r="E265" s="993"/>
      <c r="F265" s="994">
        <v>0</v>
      </c>
      <c r="G265" s="994"/>
      <c r="H265" s="988">
        <f>ROUND((1/1200)*F265,2)</f>
        <v>0</v>
      </c>
      <c r="I265" s="988"/>
      <c r="J265" s="988"/>
    </row>
    <row r="266" spans="2:10" hidden="1">
      <c r="B266" s="995" t="s">
        <v>240</v>
      </c>
      <c r="C266" s="995"/>
      <c r="D266" s="987" t="str">
        <f>1&amp;"/"&amp;I210</f>
        <v>1/0</v>
      </c>
      <c r="E266" s="987"/>
      <c r="F266" s="988">
        <f>J178</f>
        <v>0</v>
      </c>
      <c r="G266" s="988"/>
      <c r="H266" s="988">
        <f>IF(ISERROR((1/I210)*F266),0,(1/I210)*F266)</f>
        <v>0</v>
      </c>
      <c r="I266" s="988"/>
      <c r="J266" s="988"/>
    </row>
    <row r="267" spans="2:10" hidden="1">
      <c r="B267" s="989" t="s">
        <v>134</v>
      </c>
      <c r="C267" s="989"/>
      <c r="D267" s="989"/>
      <c r="E267" s="989"/>
      <c r="F267" s="989"/>
      <c r="G267" s="989"/>
      <c r="H267" s="990">
        <f>SUM(H265+H266)</f>
        <v>0</v>
      </c>
      <c r="I267" s="990"/>
      <c r="J267" s="990"/>
    </row>
    <row r="268" spans="2:10" hidden="1">
      <c r="B268" s="991"/>
      <c r="C268" s="991"/>
      <c r="D268" s="991"/>
      <c r="E268" s="991"/>
      <c r="F268" s="991"/>
      <c r="G268" s="991"/>
      <c r="H268" s="991"/>
      <c r="I268" s="991"/>
      <c r="J268" s="991"/>
    </row>
    <row r="269" spans="2:10" hidden="1">
      <c r="B269" s="992" t="s">
        <v>253</v>
      </c>
      <c r="C269" s="992"/>
      <c r="D269" s="993" t="s">
        <v>546</v>
      </c>
      <c r="E269" s="993"/>
      <c r="F269" s="994">
        <v>0</v>
      </c>
      <c r="G269" s="994"/>
      <c r="H269" s="988">
        <f>ROUND((1/1200)*F269,2)</f>
        <v>0</v>
      </c>
      <c r="I269" s="988"/>
      <c r="J269" s="988"/>
    </row>
    <row r="270" spans="2:10" hidden="1">
      <c r="B270" s="986" t="s">
        <v>241</v>
      </c>
      <c r="C270" s="986"/>
      <c r="D270" s="987" t="str">
        <f>1&amp;"/"&amp;I211</f>
        <v>1/0</v>
      </c>
      <c r="E270" s="987"/>
      <c r="F270" s="988">
        <f>J178</f>
        <v>0</v>
      </c>
      <c r="G270" s="988"/>
      <c r="H270" s="988">
        <f>IF(ISERROR((1/I211)*F270),0,(1/I211)*F270)</f>
        <v>0</v>
      </c>
      <c r="I270" s="988"/>
      <c r="J270" s="988"/>
    </row>
    <row r="271" spans="2:10" hidden="1">
      <c r="B271" s="983" t="s">
        <v>134</v>
      </c>
      <c r="C271" s="983"/>
      <c r="D271" s="983"/>
      <c r="E271" s="983"/>
      <c r="F271" s="983"/>
      <c r="G271" s="983"/>
      <c r="H271" s="984">
        <f>SUM(H269+H270)</f>
        <v>0</v>
      </c>
      <c r="I271" s="984"/>
      <c r="J271" s="984"/>
    </row>
    <row r="272" spans="2:10" ht="3.75" customHeight="1">
      <c r="B272" s="334"/>
      <c r="C272" s="334"/>
      <c r="D272" s="334"/>
      <c r="E272" s="334"/>
      <c r="F272" s="334"/>
      <c r="G272" s="334"/>
      <c r="H272" s="334"/>
      <c r="I272" s="334"/>
      <c r="J272" s="334"/>
    </row>
    <row r="273" spans="2:19">
      <c r="B273" s="985" t="s">
        <v>542</v>
      </c>
      <c r="C273" s="985"/>
      <c r="D273" s="985"/>
      <c r="E273" s="985"/>
      <c r="F273" s="985"/>
      <c r="G273" s="985"/>
      <c r="H273" s="985"/>
      <c r="I273" s="985"/>
      <c r="J273" s="985"/>
    </row>
    <row r="274" spans="2:19" ht="63.75">
      <c r="B274" s="261" t="s">
        <v>544</v>
      </c>
      <c r="C274" s="262" t="s">
        <v>217</v>
      </c>
      <c r="D274" s="261" t="s">
        <v>218</v>
      </c>
      <c r="E274" s="981" t="s">
        <v>219</v>
      </c>
      <c r="F274" s="981"/>
      <c r="G274" s="262" t="s">
        <v>53</v>
      </c>
      <c r="H274" s="261" t="s">
        <v>220</v>
      </c>
      <c r="I274" s="981" t="s">
        <v>221</v>
      </c>
      <c r="J274" s="981"/>
    </row>
    <row r="275" spans="2:19" ht="51">
      <c r="B275" s="263" t="s">
        <v>254</v>
      </c>
      <c r="C275" s="273" t="s">
        <v>547</v>
      </c>
      <c r="D275" s="264" t="s">
        <v>312</v>
      </c>
      <c r="E275" s="982" t="s">
        <v>316</v>
      </c>
      <c r="F275" s="982"/>
      <c r="G275" s="265">
        <f>ROUND((1/(4*I212))*8*(1/1148.4),7)</f>
        <v>7.9000000000000006E-6</v>
      </c>
      <c r="H275" s="266">
        <v>0</v>
      </c>
      <c r="I275" s="970">
        <f>IF(ISERROR(G275*H275),0,(G275*H275))</f>
        <v>0</v>
      </c>
      <c r="J275" s="970"/>
      <c r="L275" s="238"/>
    </row>
    <row r="276" spans="2:19" s="220" customFormat="1" ht="51">
      <c r="B276" s="263" t="s">
        <v>242</v>
      </c>
      <c r="C276" s="267" t="str">
        <f>1&amp;"/"&amp;I212</f>
        <v>1/220</v>
      </c>
      <c r="D276" s="264" t="s">
        <v>312</v>
      </c>
      <c r="E276" s="976" t="s">
        <v>316</v>
      </c>
      <c r="F276" s="976"/>
      <c r="G276" s="265">
        <f>ROUND((1/I212)*8*(1/1148.4),7)</f>
        <v>3.1699999999999998E-5</v>
      </c>
      <c r="H276" s="266">
        <f>J178</f>
        <v>0</v>
      </c>
      <c r="I276" s="970">
        <f>IF(ISERROR(G276*H276),0,(G276*H276))</f>
        <v>0</v>
      </c>
      <c r="J276" s="970"/>
      <c r="L276" s="237"/>
      <c r="M276" s="236"/>
    </row>
    <row r="277" spans="2:19">
      <c r="B277" s="973" t="s">
        <v>134</v>
      </c>
      <c r="C277" s="973"/>
      <c r="D277" s="973"/>
      <c r="E277" s="973"/>
      <c r="F277" s="973"/>
      <c r="G277" s="973"/>
      <c r="H277" s="973"/>
      <c r="I277" s="977">
        <f>SUM(I275+I276)</f>
        <v>0</v>
      </c>
      <c r="J277" s="977"/>
    </row>
    <row r="278" spans="2:19" ht="28.5" hidden="1" customHeight="1">
      <c r="B278" s="978" t="s">
        <v>482</v>
      </c>
      <c r="C278" s="979"/>
      <c r="D278" s="979"/>
      <c r="E278" s="979"/>
      <c r="F278" s="979"/>
      <c r="G278" s="979"/>
      <c r="H278" s="979"/>
      <c r="I278" s="979"/>
      <c r="J278" s="980"/>
    </row>
    <row r="279" spans="2:19">
      <c r="B279" s="975"/>
      <c r="C279" s="975"/>
      <c r="D279" s="975"/>
      <c r="E279" s="975"/>
      <c r="F279" s="975"/>
      <c r="G279" s="975"/>
      <c r="H279" s="975"/>
      <c r="I279" s="975"/>
      <c r="J279" s="975"/>
    </row>
    <row r="280" spans="2:19" ht="51">
      <c r="B280" s="261" t="s">
        <v>544</v>
      </c>
      <c r="C280" s="262" t="s">
        <v>200</v>
      </c>
      <c r="D280" s="261" t="s">
        <v>135</v>
      </c>
      <c r="E280" s="981" t="s">
        <v>147</v>
      </c>
      <c r="F280" s="981"/>
      <c r="G280" s="262" t="s">
        <v>52</v>
      </c>
      <c r="H280" s="261" t="s">
        <v>201</v>
      </c>
      <c r="I280" s="981" t="s">
        <v>332</v>
      </c>
      <c r="J280" s="981"/>
    </row>
    <row r="281" spans="2:19" ht="51">
      <c r="B281" s="268" t="s">
        <v>255</v>
      </c>
      <c r="C281" s="273" t="s">
        <v>548</v>
      </c>
      <c r="D281" s="269" t="s">
        <v>309</v>
      </c>
      <c r="E281" s="969" t="s">
        <v>153</v>
      </c>
      <c r="F281" s="969"/>
      <c r="G281" s="270">
        <f>ROUND((1/(30*I213))*16*(1/191.4),7)</f>
        <v>6.2999999999999998E-6</v>
      </c>
      <c r="H281" s="271">
        <v>0</v>
      </c>
      <c r="I281" s="970">
        <f>IF(ISERROR(G281*H281),0,(G281*H281))</f>
        <v>0</v>
      </c>
      <c r="J281" s="970"/>
    </row>
    <row r="282" spans="2:19" ht="51">
      <c r="B282" s="268" t="s">
        <v>243</v>
      </c>
      <c r="C282" s="267" t="str">
        <f>1&amp;"/"&amp;I213</f>
        <v>1/440</v>
      </c>
      <c r="D282" s="269" t="s">
        <v>309</v>
      </c>
      <c r="E282" s="969" t="s">
        <v>153</v>
      </c>
      <c r="F282" s="969"/>
      <c r="G282" s="270">
        <f>ROUND((1/I213)*16*(1/191.4),7)</f>
        <v>1.9000000000000001E-4</v>
      </c>
      <c r="H282" s="271">
        <f>J178</f>
        <v>0</v>
      </c>
      <c r="I282" s="970">
        <f>IF(ISERROR(G282*H282),0,(G282*H282))</f>
        <v>0</v>
      </c>
      <c r="J282" s="970"/>
    </row>
    <row r="283" spans="2:19">
      <c r="B283" s="973" t="s">
        <v>134</v>
      </c>
      <c r="C283" s="973"/>
      <c r="D283" s="973"/>
      <c r="E283" s="973"/>
      <c r="F283" s="973"/>
      <c r="G283" s="973"/>
      <c r="H283" s="973"/>
      <c r="I283" s="974">
        <f>SUM(I281+I282)</f>
        <v>0</v>
      </c>
      <c r="J283" s="974"/>
    </row>
    <row r="284" spans="2:19">
      <c r="B284" s="975"/>
      <c r="C284" s="975"/>
      <c r="D284" s="975"/>
      <c r="E284" s="975"/>
      <c r="F284" s="975"/>
      <c r="G284" s="975"/>
      <c r="H284" s="975"/>
      <c r="I284" s="975"/>
      <c r="J284" s="975"/>
    </row>
    <row r="285" spans="2:19" ht="25.5">
      <c r="B285" s="268" t="s">
        <v>256</v>
      </c>
      <c r="C285" s="273" t="s">
        <v>548</v>
      </c>
      <c r="D285" s="269" t="s">
        <v>309</v>
      </c>
      <c r="E285" s="969" t="s">
        <v>153</v>
      </c>
      <c r="F285" s="969"/>
      <c r="G285" s="270">
        <f>ROUND((1/(30*I214))*16*(1/191.4),7)</f>
        <v>3.1999999999999999E-6</v>
      </c>
      <c r="H285" s="271">
        <v>0</v>
      </c>
      <c r="I285" s="970">
        <f>IF(ISERROR(G285*H285),0,(G285*H285))</f>
        <v>0</v>
      </c>
      <c r="J285" s="970"/>
      <c r="S285" s="224"/>
    </row>
    <row r="286" spans="2:19" ht="25.5">
      <c r="B286" s="268" t="s">
        <v>244</v>
      </c>
      <c r="C286" s="267" t="str">
        <f>1&amp;"/"&amp;I214</f>
        <v>1/880</v>
      </c>
      <c r="D286" s="272" t="s">
        <v>309</v>
      </c>
      <c r="E286" s="969" t="s">
        <v>153</v>
      </c>
      <c r="F286" s="969"/>
      <c r="G286" s="270">
        <f>ROUND((1/I214)*16*(1/191.4),7)</f>
        <v>9.5000000000000005E-5</v>
      </c>
      <c r="H286" s="271">
        <f>J178</f>
        <v>0</v>
      </c>
      <c r="I286" s="970">
        <f>IF(ISERROR(G286*H286),0,(G286*H286))</f>
        <v>0</v>
      </c>
      <c r="J286" s="970"/>
    </row>
    <row r="287" spans="2:19">
      <c r="B287" s="971" t="s">
        <v>134</v>
      </c>
      <c r="C287" s="971"/>
      <c r="D287" s="971"/>
      <c r="E287" s="971"/>
      <c r="F287" s="971"/>
      <c r="G287" s="971"/>
      <c r="H287" s="971"/>
      <c r="I287" s="972">
        <f>SUM(I285+I286)</f>
        <v>0</v>
      </c>
      <c r="J287" s="972"/>
    </row>
    <row r="288" spans="2:19">
      <c r="B288" s="260"/>
      <c r="C288" s="260"/>
      <c r="D288" s="260"/>
      <c r="E288" s="260"/>
      <c r="F288" s="260"/>
      <c r="G288" s="260"/>
      <c r="H288" s="260"/>
      <c r="I288" s="260"/>
      <c r="J288" s="260"/>
    </row>
    <row r="289" spans="2:14" ht="12.75" hidden="1" customHeight="1">
      <c r="B289" s="968" t="s">
        <v>222</v>
      </c>
      <c r="C289" s="968"/>
      <c r="D289" s="968"/>
      <c r="E289" s="968"/>
      <c r="F289" s="968"/>
      <c r="G289" s="968"/>
      <c r="H289" s="968"/>
      <c r="I289" s="968"/>
      <c r="J289" s="968"/>
    </row>
    <row r="290" spans="2:14" ht="63.75" hidden="1">
      <c r="B290" s="280" t="s">
        <v>163</v>
      </c>
      <c r="C290" s="280" t="s">
        <v>217</v>
      </c>
      <c r="D290" s="280" t="s">
        <v>218</v>
      </c>
      <c r="E290" s="967" t="s">
        <v>219</v>
      </c>
      <c r="F290" s="967"/>
      <c r="G290" s="280" t="s">
        <v>53</v>
      </c>
      <c r="H290" s="280" t="s">
        <v>220</v>
      </c>
      <c r="I290" s="967" t="s">
        <v>221</v>
      </c>
      <c r="J290" s="967"/>
    </row>
    <row r="291" spans="2:14" ht="25.5" hidden="1">
      <c r="B291" s="274" t="s">
        <v>155</v>
      </c>
      <c r="C291" s="275" t="s">
        <v>547</v>
      </c>
      <c r="D291" s="276" t="s">
        <v>312</v>
      </c>
      <c r="E291" s="963" t="s">
        <v>316</v>
      </c>
      <c r="F291" s="963"/>
      <c r="G291" s="277" t="e">
        <f>ROUND((1/(4*I215))*8*(1/1148.4),7)</f>
        <v>#REF!</v>
      </c>
      <c r="H291" s="278">
        <v>0</v>
      </c>
      <c r="I291" s="964">
        <f>IF(ISERROR(G291*H291),0,(G291*H291))</f>
        <v>0</v>
      </c>
      <c r="J291" s="964"/>
    </row>
    <row r="292" spans="2:14" s="220" customFormat="1" hidden="1">
      <c r="B292" s="274" t="s">
        <v>154</v>
      </c>
      <c r="C292" s="279" t="e">
        <f>1&amp;"/"&amp;I215</f>
        <v>#REF!</v>
      </c>
      <c r="D292" s="276" t="s">
        <v>312</v>
      </c>
      <c r="E292" s="965" t="s">
        <v>316</v>
      </c>
      <c r="F292" s="965"/>
      <c r="G292" s="277" t="e">
        <f>ROUND((1/I215)*8*(1/1148.4),7)</f>
        <v>#REF!</v>
      </c>
      <c r="H292" s="278">
        <f>J178</f>
        <v>0</v>
      </c>
      <c r="I292" s="964">
        <f>IF(ISERROR(G292*H292),0,(G292*H292))</f>
        <v>0</v>
      </c>
      <c r="J292" s="964"/>
    </row>
    <row r="293" spans="2:14" hidden="1">
      <c r="B293" s="961" t="s">
        <v>134</v>
      </c>
      <c r="C293" s="961"/>
      <c r="D293" s="961"/>
      <c r="E293" s="961"/>
      <c r="F293" s="961"/>
      <c r="G293" s="961"/>
      <c r="H293" s="961"/>
      <c r="I293" s="962">
        <f>SUM(I291+I292)</f>
        <v>0</v>
      </c>
      <c r="J293" s="962"/>
    </row>
    <row r="294" spans="2:14" hidden="1">
      <c r="B294" s="260"/>
      <c r="C294" s="260"/>
      <c r="D294" s="260"/>
      <c r="E294" s="260"/>
      <c r="F294" s="260"/>
      <c r="G294" s="260"/>
      <c r="H294" s="260"/>
      <c r="I294" s="260"/>
      <c r="J294" s="260"/>
    </row>
    <row r="295" spans="2:14" hidden="1">
      <c r="B295" s="966" t="s">
        <v>206</v>
      </c>
      <c r="C295" s="966"/>
      <c r="D295" s="966"/>
      <c r="E295" s="966"/>
      <c r="F295" s="966"/>
      <c r="G295" s="966"/>
      <c r="H295" s="966"/>
      <c r="I295" s="966"/>
      <c r="J295" s="966"/>
    </row>
    <row r="296" spans="2:14" ht="39.75" hidden="1" customHeight="1">
      <c r="B296" s="959" t="s">
        <v>163</v>
      </c>
      <c r="C296" s="959"/>
      <c r="D296" s="960" t="s">
        <v>74</v>
      </c>
      <c r="E296" s="960"/>
      <c r="F296" s="959" t="s">
        <v>75</v>
      </c>
      <c r="G296" s="959"/>
      <c r="H296" s="959" t="s">
        <v>150</v>
      </c>
      <c r="I296" s="959"/>
      <c r="J296" s="959"/>
    </row>
    <row r="297" spans="2:14" hidden="1">
      <c r="B297" s="954" t="s">
        <v>155</v>
      </c>
      <c r="C297" s="954"/>
      <c r="D297" s="958" t="s">
        <v>549</v>
      </c>
      <c r="E297" s="958"/>
      <c r="F297" s="956">
        <v>0</v>
      </c>
      <c r="G297" s="956"/>
      <c r="H297" s="957">
        <v>0</v>
      </c>
      <c r="I297" s="957"/>
      <c r="J297" s="957"/>
    </row>
    <row r="298" spans="2:14" hidden="1">
      <c r="B298" s="954" t="s">
        <v>154</v>
      </c>
      <c r="C298" s="954"/>
      <c r="D298" s="955" t="e">
        <f>1&amp;"/"&amp;I216</f>
        <v>#REF!</v>
      </c>
      <c r="E298" s="955"/>
      <c r="F298" s="956">
        <f>J178</f>
        <v>0</v>
      </c>
      <c r="G298" s="956"/>
      <c r="H298" s="957">
        <f>IF(ISERROR((1/I216)*F298),0,(1/I216)*F298)</f>
        <v>0</v>
      </c>
      <c r="I298" s="957"/>
      <c r="J298" s="957"/>
    </row>
    <row r="299" spans="2:14" hidden="1">
      <c r="B299" s="951" t="s">
        <v>134</v>
      </c>
      <c r="C299" s="951"/>
      <c r="D299" s="951"/>
      <c r="E299" s="951"/>
      <c r="F299" s="951"/>
      <c r="G299" s="951"/>
      <c r="H299" s="952">
        <f>SUM(H297+H298)</f>
        <v>0</v>
      </c>
      <c r="I299" s="952"/>
      <c r="J299" s="952"/>
    </row>
    <row r="300" spans="2:14">
      <c r="B300" s="260"/>
      <c r="C300" s="260"/>
      <c r="D300" s="260"/>
      <c r="E300" s="260"/>
      <c r="F300" s="260"/>
      <c r="G300" s="260"/>
      <c r="H300" s="260"/>
      <c r="I300" s="260"/>
      <c r="J300" s="260"/>
    </row>
    <row r="301" spans="2:14" ht="84.75" hidden="1" customHeight="1">
      <c r="B301" s="953" t="s">
        <v>54</v>
      </c>
      <c r="C301" s="953"/>
      <c r="D301" s="953"/>
      <c r="E301" s="953"/>
      <c r="F301" s="953"/>
      <c r="G301" s="953"/>
      <c r="H301" s="953"/>
      <c r="I301" s="953"/>
      <c r="J301" s="953"/>
    </row>
    <row r="302" spans="2:14">
      <c r="B302" s="947" t="s">
        <v>111</v>
      </c>
      <c r="C302" s="947"/>
      <c r="D302" s="947"/>
      <c r="E302" s="947"/>
      <c r="F302" s="947"/>
      <c r="G302" s="947"/>
      <c r="H302" s="947"/>
      <c r="I302" s="947"/>
      <c r="J302" s="947"/>
    </row>
    <row r="303" spans="2:14">
      <c r="B303" s="947"/>
      <c r="C303" s="947"/>
      <c r="D303" s="947"/>
      <c r="E303" s="947"/>
      <c r="F303" s="947"/>
      <c r="G303" s="947"/>
      <c r="H303" s="947"/>
      <c r="I303" s="947"/>
      <c r="J303" s="947"/>
      <c r="L303" s="1223"/>
      <c r="M303" s="1224"/>
      <c r="N303" s="1225"/>
    </row>
    <row r="304" spans="2:14" ht="25.5">
      <c r="B304" s="948" t="s">
        <v>136</v>
      </c>
      <c r="C304" s="948"/>
      <c r="D304" s="948"/>
      <c r="E304" s="949" t="s">
        <v>556</v>
      </c>
      <c r="F304" s="949"/>
      <c r="G304" s="132" t="s">
        <v>55</v>
      </c>
      <c r="H304" s="950" t="s">
        <v>56</v>
      </c>
      <c r="I304" s="950"/>
      <c r="J304" s="950"/>
      <c r="L304" s="1226"/>
      <c r="M304" s="1226"/>
      <c r="N304" s="1227"/>
    </row>
    <row r="305" spans="2:14">
      <c r="B305" s="907" t="s">
        <v>57</v>
      </c>
      <c r="C305" s="907"/>
      <c r="D305" s="907"/>
      <c r="E305" s="931">
        <f>H224</f>
        <v>0</v>
      </c>
      <c r="F305" s="931"/>
      <c r="G305" s="239">
        <f t="shared" ref="G305:G311" si="1">I18</f>
        <v>0</v>
      </c>
      <c r="H305" s="944">
        <f>ROUND(E305*G305,2)</f>
        <v>0</v>
      </c>
      <c r="I305" s="945"/>
      <c r="J305" s="946"/>
      <c r="K305" s="226"/>
      <c r="L305" s="1228"/>
      <c r="M305" s="1228"/>
      <c r="N305" s="1225"/>
    </row>
    <row r="306" spans="2:14">
      <c r="B306" s="907" t="s">
        <v>58</v>
      </c>
      <c r="C306" s="907"/>
      <c r="D306" s="907"/>
      <c r="E306" s="931">
        <f>H228</f>
        <v>0</v>
      </c>
      <c r="F306" s="931"/>
      <c r="G306" s="239">
        <f t="shared" si="1"/>
        <v>2874.36</v>
      </c>
      <c r="H306" s="936">
        <f>ROUND(E306*G306,2)</f>
        <v>0</v>
      </c>
      <c r="I306" s="926"/>
      <c r="J306" s="937"/>
      <c r="K306" s="226"/>
      <c r="L306" s="1228"/>
      <c r="M306" s="1228"/>
      <c r="N306" s="1225"/>
    </row>
    <row r="307" spans="2:14">
      <c r="B307" s="907" t="s">
        <v>59</v>
      </c>
      <c r="C307" s="907"/>
      <c r="D307" s="907"/>
      <c r="E307" s="931">
        <f>H232</f>
        <v>0</v>
      </c>
      <c r="F307" s="931"/>
      <c r="G307" s="239">
        <f t="shared" si="1"/>
        <v>0</v>
      </c>
      <c r="H307" s="936">
        <f>ROUND(E307*G307,2)</f>
        <v>0</v>
      </c>
      <c r="I307" s="926"/>
      <c r="J307" s="937"/>
      <c r="K307" s="226"/>
      <c r="L307" s="1228"/>
      <c r="M307" s="1228"/>
      <c r="N307" s="1225"/>
    </row>
    <row r="308" spans="2:14">
      <c r="B308" s="907" t="s">
        <v>60</v>
      </c>
      <c r="C308" s="907"/>
      <c r="D308" s="907"/>
      <c r="E308" s="931">
        <f>H236</f>
        <v>0</v>
      </c>
      <c r="F308" s="931"/>
      <c r="G308" s="239">
        <f t="shared" si="1"/>
        <v>34.75</v>
      </c>
      <c r="H308" s="941">
        <f>ROUND(E308*G308,2)</f>
        <v>0</v>
      </c>
      <c r="I308" s="942"/>
      <c r="J308" s="943"/>
      <c r="K308" s="226"/>
      <c r="L308" s="1228"/>
      <c r="M308" s="1228"/>
      <c r="N308" s="1225"/>
    </row>
    <row r="309" spans="2:14">
      <c r="B309" s="907" t="s">
        <v>61</v>
      </c>
      <c r="C309" s="907"/>
      <c r="D309" s="907"/>
      <c r="E309" s="931">
        <f>H240</f>
        <v>0</v>
      </c>
      <c r="F309" s="931"/>
      <c r="G309" s="239">
        <f t="shared" si="1"/>
        <v>0</v>
      </c>
      <c r="H309" s="936">
        <f t="shared" ref="H309:H310" si="2">ROUND(E309*G309,2)</f>
        <v>0</v>
      </c>
      <c r="I309" s="926"/>
      <c r="J309" s="937"/>
      <c r="K309" s="226"/>
      <c r="L309" s="1228"/>
      <c r="M309" s="1228"/>
      <c r="N309" s="1225"/>
    </row>
    <row r="310" spans="2:14" ht="25.5" customHeight="1">
      <c r="B310" s="932" t="s">
        <v>62</v>
      </c>
      <c r="C310" s="932"/>
      <c r="D310" s="932"/>
      <c r="E310" s="931">
        <f>H244</f>
        <v>0</v>
      </c>
      <c r="F310" s="931"/>
      <c r="G310" s="239">
        <f t="shared" si="1"/>
        <v>175.84</v>
      </c>
      <c r="H310" s="938">
        <f t="shared" si="2"/>
        <v>0</v>
      </c>
      <c r="I310" s="939"/>
      <c r="J310" s="940"/>
      <c r="K310" s="226"/>
      <c r="L310" s="1228"/>
      <c r="M310" s="1228"/>
      <c r="N310" s="1225"/>
    </row>
    <row r="311" spans="2:14">
      <c r="B311" s="922" t="s">
        <v>173</v>
      </c>
      <c r="C311" s="922"/>
      <c r="D311" s="922"/>
      <c r="E311" s="922"/>
      <c r="F311" s="922"/>
      <c r="G311" s="206">
        <f t="shared" si="1"/>
        <v>3084.95</v>
      </c>
      <c r="H311" s="933">
        <f>SUM(H305:J310)</f>
        <v>0</v>
      </c>
      <c r="I311" s="933"/>
      <c r="J311" s="933"/>
      <c r="K311" s="226"/>
      <c r="L311" s="1228"/>
      <c r="M311" s="1228"/>
      <c r="N311" s="1225"/>
    </row>
    <row r="312" spans="2:14" ht="6" customHeight="1">
      <c r="B312" s="934"/>
      <c r="C312" s="934"/>
      <c r="D312" s="934"/>
      <c r="E312" s="934"/>
      <c r="F312" s="934"/>
      <c r="G312" s="934"/>
      <c r="H312" s="934"/>
      <c r="I312" s="934"/>
      <c r="J312" s="934"/>
      <c r="K312" s="226"/>
      <c r="L312" s="1228"/>
      <c r="M312" s="1228"/>
      <c r="N312" s="1225"/>
    </row>
    <row r="313" spans="2:14" ht="26.25" customHeight="1">
      <c r="B313" s="935" t="s">
        <v>63</v>
      </c>
      <c r="C313" s="935"/>
      <c r="D313" s="935"/>
      <c r="E313" s="925">
        <f>H251</f>
        <v>0</v>
      </c>
      <c r="F313" s="925"/>
      <c r="G313" s="207">
        <f t="shared" ref="G313:G319" si="3">I26</f>
        <v>151.9</v>
      </c>
      <c r="H313" s="926">
        <f>ROUND(E313*G313,2)</f>
        <v>0</v>
      </c>
      <c r="I313" s="926"/>
      <c r="J313" s="926"/>
      <c r="K313" s="226"/>
      <c r="L313" s="1228"/>
      <c r="M313" s="1228"/>
      <c r="N313" s="1225"/>
    </row>
    <row r="314" spans="2:14" ht="24.75" customHeight="1">
      <c r="B314" s="932" t="s">
        <v>64</v>
      </c>
      <c r="C314" s="932"/>
      <c r="D314" s="932"/>
      <c r="E314" s="931">
        <f>H255</f>
        <v>0</v>
      </c>
      <c r="F314" s="931"/>
      <c r="G314" s="208">
        <f t="shared" si="3"/>
        <v>0</v>
      </c>
      <c r="H314" s="926">
        <f>ROUND(E314*G314,2)</f>
        <v>0</v>
      </c>
      <c r="I314" s="926"/>
      <c r="J314" s="926"/>
      <c r="K314" s="226"/>
      <c r="L314" s="1228"/>
      <c r="M314" s="1228"/>
      <c r="N314" s="1225"/>
    </row>
    <row r="315" spans="2:14" ht="24" customHeight="1">
      <c r="B315" s="932" t="s">
        <v>65</v>
      </c>
      <c r="C315" s="932"/>
      <c r="D315" s="932"/>
      <c r="E315" s="931">
        <f>H259</f>
        <v>0</v>
      </c>
      <c r="F315" s="931"/>
      <c r="G315" s="208">
        <f t="shared" si="3"/>
        <v>0</v>
      </c>
      <c r="H315" s="926">
        <f>ROUND(E315*G315,2)</f>
        <v>0</v>
      </c>
      <c r="I315" s="926"/>
      <c r="J315" s="926"/>
      <c r="K315" s="226"/>
      <c r="L315" s="1228"/>
      <c r="M315" s="1228"/>
      <c r="N315" s="1225"/>
    </row>
    <row r="316" spans="2:14" ht="22.5" customHeight="1">
      <c r="B316" s="932" t="s">
        <v>66</v>
      </c>
      <c r="C316" s="932"/>
      <c r="D316" s="932"/>
      <c r="E316" s="931">
        <f>H263</f>
        <v>0</v>
      </c>
      <c r="F316" s="931"/>
      <c r="G316" s="208">
        <f t="shared" si="3"/>
        <v>0</v>
      </c>
      <c r="H316" s="926">
        <f t="shared" ref="H316:H318" si="4">ROUND(E316*G316,2)</f>
        <v>0</v>
      </c>
      <c r="I316" s="926"/>
      <c r="J316" s="926"/>
      <c r="K316" s="226"/>
      <c r="L316" s="1228"/>
      <c r="M316" s="1228"/>
      <c r="N316" s="1225"/>
    </row>
    <row r="317" spans="2:14" ht="22.5" customHeight="1">
      <c r="B317" s="932" t="s">
        <v>67</v>
      </c>
      <c r="C317" s="932"/>
      <c r="D317" s="932"/>
      <c r="E317" s="931">
        <f>H267</f>
        <v>0</v>
      </c>
      <c r="F317" s="931"/>
      <c r="G317" s="208">
        <f t="shared" si="3"/>
        <v>0</v>
      </c>
      <c r="H317" s="926">
        <f>ROUND(E317*G317,2)</f>
        <v>0</v>
      </c>
      <c r="I317" s="926"/>
      <c r="J317" s="926"/>
      <c r="K317" s="226"/>
      <c r="L317" s="1228"/>
      <c r="M317" s="1228"/>
      <c r="N317" s="1225"/>
    </row>
    <row r="318" spans="2:14" ht="22.5" customHeight="1">
      <c r="B318" s="932" t="s">
        <v>68</v>
      </c>
      <c r="C318" s="932"/>
      <c r="D318" s="932"/>
      <c r="E318" s="931">
        <f>H271</f>
        <v>0</v>
      </c>
      <c r="F318" s="931"/>
      <c r="G318" s="208">
        <f t="shared" si="3"/>
        <v>0</v>
      </c>
      <c r="H318" s="926">
        <f t="shared" si="4"/>
        <v>0</v>
      </c>
      <c r="I318" s="926"/>
      <c r="J318" s="926"/>
      <c r="K318" s="226"/>
      <c r="L318" s="1228"/>
      <c r="M318" s="1228"/>
      <c r="N318" s="1225"/>
    </row>
    <row r="319" spans="2:14">
      <c r="B319" s="922" t="s">
        <v>180</v>
      </c>
      <c r="C319" s="922"/>
      <c r="D319" s="922"/>
      <c r="E319" s="922"/>
      <c r="F319" s="922"/>
      <c r="G319" s="209">
        <f t="shared" si="3"/>
        <v>151.9</v>
      </c>
      <c r="H319" s="923">
        <f>SUM(H313:J318)</f>
        <v>0</v>
      </c>
      <c r="I319" s="923"/>
      <c r="J319" s="923"/>
      <c r="K319" s="226"/>
      <c r="L319" s="1228"/>
      <c r="M319" s="1228"/>
      <c r="N319" s="1225"/>
    </row>
    <row r="320" spans="2:14" ht="6" customHeight="1">
      <c r="B320" s="918"/>
      <c r="C320" s="918"/>
      <c r="D320" s="918"/>
      <c r="E320" s="918"/>
      <c r="F320" s="918"/>
      <c r="G320" s="918"/>
      <c r="H320" s="918"/>
      <c r="I320" s="918"/>
      <c r="J320" s="918"/>
      <c r="K320" s="226"/>
      <c r="L320" s="1228"/>
      <c r="M320" s="1228"/>
      <c r="N320" s="1225"/>
    </row>
    <row r="321" spans="2:14" ht="24.75" customHeight="1">
      <c r="B321" s="928" t="s">
        <v>69</v>
      </c>
      <c r="C321" s="929"/>
      <c r="D321" s="930"/>
      <c r="E321" s="925">
        <f>I277</f>
        <v>0</v>
      </c>
      <c r="F321" s="925"/>
      <c r="G321" s="210">
        <f>I34</f>
        <v>425.09000000000003</v>
      </c>
      <c r="H321" s="926">
        <f>ROUND(E321*G321,2)</f>
        <v>0</v>
      </c>
      <c r="I321" s="926"/>
      <c r="J321" s="926"/>
      <c r="K321" s="226"/>
      <c r="L321" s="1228"/>
      <c r="M321" s="1228"/>
      <c r="N321" s="1225"/>
    </row>
    <row r="322" spans="2:14" ht="25.5" customHeight="1">
      <c r="B322" s="928" t="s">
        <v>557</v>
      </c>
      <c r="C322" s="929"/>
      <c r="D322" s="930"/>
      <c r="E322" s="931">
        <f>I283</f>
        <v>0</v>
      </c>
      <c r="F322" s="931"/>
      <c r="G322" s="205">
        <f>I35</f>
        <v>79.91</v>
      </c>
      <c r="H322" s="926">
        <f>ROUND((E322*G322),2)</f>
        <v>0</v>
      </c>
      <c r="I322" s="926"/>
      <c r="J322" s="926"/>
      <c r="K322" s="226"/>
      <c r="L322" s="1228"/>
      <c r="M322" s="1228"/>
      <c r="N322" s="1225"/>
    </row>
    <row r="323" spans="2:14">
      <c r="B323" s="899" t="s">
        <v>558</v>
      </c>
      <c r="C323" s="899"/>
      <c r="D323" s="899"/>
      <c r="E323" s="931">
        <f>I287</f>
        <v>0</v>
      </c>
      <c r="F323" s="931"/>
      <c r="G323" s="205">
        <f>I36</f>
        <v>658.91000000000008</v>
      </c>
      <c r="H323" s="926">
        <f>ROUND((E323*G323),2)</f>
        <v>0</v>
      </c>
      <c r="I323" s="926"/>
      <c r="J323" s="926"/>
      <c r="K323" s="226"/>
      <c r="L323" s="1228"/>
      <c r="M323" s="1228"/>
      <c r="N323" s="1225"/>
    </row>
    <row r="324" spans="2:14">
      <c r="B324" s="922" t="s">
        <v>210</v>
      </c>
      <c r="C324" s="922"/>
      <c r="D324" s="922"/>
      <c r="E324" s="922"/>
      <c r="F324" s="922"/>
      <c r="G324" s="206">
        <f>I37</f>
        <v>1163.9100000000001</v>
      </c>
      <c r="H324" s="923">
        <f>SUM(H321:J323)</f>
        <v>0</v>
      </c>
      <c r="I324" s="923"/>
      <c r="J324" s="923"/>
      <c r="K324" s="226"/>
      <c r="L324" s="1228"/>
      <c r="M324" s="1228"/>
      <c r="N324" s="1225"/>
    </row>
    <row r="325" spans="2:14" ht="6" customHeight="1">
      <c r="B325" s="918"/>
      <c r="C325" s="918"/>
      <c r="D325" s="918"/>
      <c r="E325" s="918"/>
      <c r="F325" s="918"/>
      <c r="G325" s="918"/>
      <c r="H325" s="918"/>
      <c r="I325" s="918"/>
      <c r="J325" s="918"/>
      <c r="K325" s="226"/>
      <c r="L325" s="1228"/>
      <c r="M325" s="1228"/>
      <c r="N325" s="1225"/>
    </row>
    <row r="326" spans="2:14">
      <c r="B326" s="927" t="s">
        <v>72</v>
      </c>
      <c r="C326" s="927"/>
      <c r="D326" s="927"/>
      <c r="E326" s="925">
        <f>I293</f>
        <v>0</v>
      </c>
      <c r="F326" s="925"/>
      <c r="G326" s="210">
        <f>I40</f>
        <v>0</v>
      </c>
      <c r="H326" s="926">
        <f>ROUND((E326*G326),2)</f>
        <v>0</v>
      </c>
      <c r="I326" s="926"/>
      <c r="J326" s="926"/>
      <c r="K326" s="226"/>
      <c r="L326" s="1228"/>
      <c r="M326" s="1228"/>
      <c r="N326" s="1225"/>
    </row>
    <row r="327" spans="2:14">
      <c r="B327" s="922" t="s">
        <v>223</v>
      </c>
      <c r="C327" s="922"/>
      <c r="D327" s="922"/>
      <c r="E327" s="922"/>
      <c r="F327" s="922"/>
      <c r="G327" s="206">
        <f>G326</f>
        <v>0</v>
      </c>
      <c r="H327" s="923">
        <f>H326</f>
        <v>0</v>
      </c>
      <c r="I327" s="923"/>
      <c r="J327" s="923"/>
      <c r="K327" s="226"/>
      <c r="L327" s="1228"/>
      <c r="M327" s="1228"/>
      <c r="N327" s="1225"/>
    </row>
    <row r="328" spans="2:14" ht="6" customHeight="1">
      <c r="B328" s="918"/>
      <c r="C328" s="918"/>
      <c r="D328" s="918"/>
      <c r="E328" s="918"/>
      <c r="F328" s="918"/>
      <c r="G328" s="918"/>
      <c r="H328" s="918"/>
      <c r="I328" s="918"/>
      <c r="J328" s="918"/>
      <c r="K328" s="226"/>
      <c r="L328" s="1228"/>
      <c r="M328" s="1228"/>
      <c r="N328" s="1225"/>
    </row>
    <row r="329" spans="2:14">
      <c r="B329" s="924" t="s">
        <v>73</v>
      </c>
      <c r="C329" s="924"/>
      <c r="D329" s="924"/>
      <c r="E329" s="925">
        <f>H299</f>
        <v>0</v>
      </c>
      <c r="F329" s="925"/>
      <c r="G329" s="210">
        <v>0</v>
      </c>
      <c r="H329" s="926">
        <v>0</v>
      </c>
      <c r="I329" s="926"/>
      <c r="J329" s="926"/>
      <c r="K329" s="226"/>
      <c r="L329" s="1228"/>
      <c r="M329" s="1228"/>
      <c r="N329" s="1225"/>
    </row>
    <row r="330" spans="2:14">
      <c r="B330" s="916" t="s">
        <v>211</v>
      </c>
      <c r="C330" s="916"/>
      <c r="D330" s="916"/>
      <c r="E330" s="916"/>
      <c r="F330" s="916"/>
      <c r="G330" s="212">
        <f>I43</f>
        <v>0</v>
      </c>
      <c r="H330" s="917">
        <f>H329</f>
        <v>0</v>
      </c>
      <c r="I330" s="917"/>
      <c r="J330" s="917"/>
      <c r="K330" s="226"/>
      <c r="L330" s="1228"/>
      <c r="M330" s="1228"/>
      <c r="N330" s="1225"/>
    </row>
    <row r="331" spans="2:14" ht="6" customHeight="1">
      <c r="B331" s="918"/>
      <c r="C331" s="918"/>
      <c r="D331" s="918"/>
      <c r="E331" s="918"/>
      <c r="F331" s="918"/>
      <c r="G331" s="918"/>
      <c r="H331" s="918"/>
      <c r="I331" s="918"/>
      <c r="J331" s="918"/>
      <c r="K331" s="226"/>
      <c r="L331" s="1228"/>
      <c r="M331" s="1228"/>
      <c r="N331" s="1225"/>
    </row>
    <row r="332" spans="2:14">
      <c r="B332" s="919" t="s">
        <v>134</v>
      </c>
      <c r="C332" s="919"/>
      <c r="D332" s="919"/>
      <c r="E332" s="919"/>
      <c r="F332" s="919"/>
      <c r="G332" s="211">
        <f>ROUND(G311+G319+G324+G327+G330,2)</f>
        <v>4400.76</v>
      </c>
      <c r="H332" s="917">
        <f>SUM(H311,H319,H324,H327,H330)</f>
        <v>0</v>
      </c>
      <c r="I332" s="917"/>
      <c r="J332" s="917"/>
      <c r="K332" s="226"/>
      <c r="L332" s="1228"/>
      <c r="M332" s="1228"/>
      <c r="N332" s="1225"/>
    </row>
    <row r="333" spans="2:14">
      <c r="B333" s="912"/>
      <c r="C333" s="912"/>
      <c r="D333" s="912"/>
      <c r="E333" s="912"/>
      <c r="F333" s="912"/>
      <c r="G333" s="912"/>
      <c r="H333" s="912"/>
      <c r="I333" s="912"/>
      <c r="J333" s="912"/>
      <c r="L333" s="1229"/>
      <c r="M333" s="1229"/>
      <c r="N333" s="1225"/>
    </row>
    <row r="334" spans="2:14" ht="18">
      <c r="B334" s="913" t="s">
        <v>124</v>
      </c>
      <c r="C334" s="913"/>
      <c r="D334" s="913"/>
      <c r="E334" s="913"/>
      <c r="F334" s="913"/>
      <c r="G334" s="913"/>
      <c r="H334" s="914">
        <f>H332</f>
        <v>0</v>
      </c>
      <c r="I334" s="914"/>
      <c r="J334" s="914"/>
      <c r="L334" s="1230"/>
      <c r="M334" s="1231"/>
      <c r="N334" s="1232"/>
    </row>
    <row r="335" spans="2:14" ht="18">
      <c r="B335" s="915"/>
      <c r="C335" s="915"/>
      <c r="D335" s="915"/>
      <c r="E335" s="915"/>
      <c r="F335" s="915"/>
      <c r="G335" s="915"/>
      <c r="H335" s="915"/>
      <c r="I335" s="915"/>
      <c r="J335" s="915"/>
      <c r="L335" s="1233"/>
      <c r="M335" s="1234"/>
      <c r="N335" s="1232"/>
    </row>
    <row r="336" spans="2:14" ht="18">
      <c r="B336" s="920" t="s">
        <v>314</v>
      </c>
      <c r="C336" s="920"/>
      <c r="D336" s="920"/>
      <c r="E336" s="920"/>
      <c r="F336" s="920"/>
      <c r="G336" s="920"/>
      <c r="H336" s="921">
        <f>$I$15</f>
        <v>12</v>
      </c>
      <c r="I336" s="921"/>
      <c r="J336" s="921"/>
      <c r="M336" s="231"/>
      <c r="N336" s="232"/>
    </row>
    <row r="337" spans="2:14" ht="18">
      <c r="B337" s="909"/>
      <c r="C337" s="909"/>
      <c r="D337" s="909"/>
      <c r="E337" s="909"/>
      <c r="F337" s="909"/>
      <c r="G337" s="909"/>
      <c r="H337" s="909"/>
      <c r="I337" s="909"/>
      <c r="J337" s="909"/>
      <c r="L337" s="281"/>
      <c r="M337" s="231"/>
      <c r="N337" s="232"/>
    </row>
    <row r="338" spans="2:14" ht="33" customHeight="1">
      <c r="B338" s="910" t="s">
        <v>551</v>
      </c>
      <c r="C338" s="910"/>
      <c r="D338" s="910"/>
      <c r="E338" s="910"/>
      <c r="F338" s="910"/>
      <c r="G338" s="910"/>
      <c r="H338" s="911">
        <f>ROUND(H332*H336,2)</f>
        <v>0</v>
      </c>
      <c r="I338" s="911"/>
      <c r="J338" s="911"/>
      <c r="M338" s="231"/>
      <c r="N338" s="232"/>
    </row>
    <row r="339" spans="2:14">
      <c r="B339" s="901"/>
      <c r="C339" s="901"/>
      <c r="D339" s="901"/>
      <c r="E339" s="901"/>
      <c r="F339" s="901"/>
      <c r="G339" s="901"/>
      <c r="H339" s="901"/>
      <c r="I339" s="901"/>
      <c r="J339" s="901"/>
      <c r="L339" s="220"/>
      <c r="M339" s="220"/>
      <c r="N339" s="220"/>
    </row>
    <row r="340" spans="2:14">
      <c r="B340" s="902" t="s">
        <v>483</v>
      </c>
      <c r="C340" s="902"/>
      <c r="D340" s="902"/>
      <c r="E340" s="902"/>
      <c r="F340" s="902"/>
      <c r="G340" s="902"/>
      <c r="H340" s="902"/>
      <c r="I340" s="902"/>
      <c r="J340" s="902"/>
      <c r="L340" s="220"/>
      <c r="M340" s="220"/>
      <c r="N340" s="220"/>
    </row>
    <row r="341" spans="2:14">
      <c r="B341" s="903" t="s">
        <v>166</v>
      </c>
      <c r="C341" s="903"/>
      <c r="D341" s="903"/>
      <c r="E341" s="903"/>
      <c r="F341" s="903"/>
      <c r="G341" s="903"/>
      <c r="H341" s="903"/>
      <c r="I341" s="904" t="s">
        <v>158</v>
      </c>
      <c r="J341" s="904"/>
      <c r="L341" s="220"/>
      <c r="M341" s="220"/>
      <c r="N341" s="220"/>
    </row>
    <row r="342" spans="2:14">
      <c r="B342" s="903"/>
      <c r="C342" s="903"/>
      <c r="D342" s="903"/>
      <c r="E342" s="903"/>
      <c r="F342" s="903"/>
      <c r="G342" s="903"/>
      <c r="H342" s="903"/>
      <c r="I342" s="904"/>
      <c r="J342" s="904"/>
    </row>
    <row r="343" spans="2:14">
      <c r="B343" s="895" t="s">
        <v>155</v>
      </c>
      <c r="C343" s="895"/>
      <c r="D343" s="895"/>
      <c r="E343" s="895"/>
      <c r="F343" s="895"/>
      <c r="G343" s="895"/>
      <c r="H343" s="895"/>
      <c r="I343" s="1222" t="s">
        <v>227</v>
      </c>
      <c r="J343" s="896"/>
    </row>
    <row r="344" spans="2:14">
      <c r="B344" s="897" t="s">
        <v>154</v>
      </c>
      <c r="C344" s="895"/>
      <c r="D344" s="895"/>
      <c r="E344" s="895"/>
      <c r="F344" s="895"/>
      <c r="G344" s="895"/>
      <c r="H344" s="895"/>
      <c r="I344" s="898"/>
      <c r="J344" s="896"/>
    </row>
    <row r="345" spans="2:14">
      <c r="B345" s="899"/>
      <c r="C345" s="899"/>
      <c r="D345" s="899"/>
      <c r="E345" s="899"/>
      <c r="F345" s="899"/>
      <c r="G345" s="899"/>
      <c r="H345" s="899"/>
      <c r="I345" s="899"/>
      <c r="J345" s="899"/>
    </row>
    <row r="346" spans="2:14">
      <c r="B346" s="900"/>
      <c r="C346" s="900"/>
      <c r="D346" s="900"/>
      <c r="E346" s="900"/>
      <c r="F346" s="900"/>
      <c r="G346" s="900"/>
      <c r="H346" s="900"/>
      <c r="I346" s="900"/>
      <c r="J346" s="900"/>
    </row>
    <row r="347" spans="2:14">
      <c r="B347" s="900"/>
      <c r="C347" s="900"/>
      <c r="D347" s="900"/>
      <c r="E347" s="900"/>
      <c r="F347" s="900"/>
      <c r="G347" s="900"/>
      <c r="H347" s="900"/>
      <c r="I347" s="900"/>
      <c r="J347" s="900"/>
    </row>
    <row r="348" spans="2:14" hidden="1">
      <c r="B348" s="908" t="s">
        <v>550</v>
      </c>
      <c r="C348" s="908"/>
      <c r="D348" s="908"/>
      <c r="E348" s="908"/>
      <c r="F348" s="908"/>
      <c r="G348" s="908"/>
      <c r="H348" s="908"/>
      <c r="I348" s="908"/>
      <c r="J348" s="908"/>
    </row>
    <row r="349" spans="2:14" hidden="1">
      <c r="B349" s="904" t="s">
        <v>212</v>
      </c>
      <c r="C349" s="904"/>
      <c r="D349" s="904"/>
      <c r="E349" s="904"/>
      <c r="F349" s="904"/>
      <c r="G349" s="904"/>
      <c r="H349" s="904"/>
      <c r="I349" s="904" t="s">
        <v>160</v>
      </c>
      <c r="J349" s="904"/>
    </row>
    <row r="350" spans="2:14" ht="15" hidden="1">
      <c r="B350" s="906"/>
      <c r="C350" s="906"/>
      <c r="D350" s="906"/>
      <c r="E350" s="906"/>
      <c r="F350" s="906"/>
      <c r="G350" s="906"/>
      <c r="H350" s="906"/>
      <c r="I350" s="905"/>
      <c r="J350" s="905"/>
    </row>
    <row r="351" spans="2:14" hidden="1">
      <c r="B351" s="907"/>
      <c r="C351" s="907"/>
      <c r="D351" s="907"/>
      <c r="E351" s="907"/>
      <c r="F351" s="907"/>
      <c r="G351" s="907"/>
      <c r="H351" s="907"/>
      <c r="I351" s="905"/>
      <c r="J351" s="905"/>
    </row>
    <row r="352" spans="2:14" hidden="1">
      <c r="B352" s="899"/>
      <c r="C352" s="899"/>
      <c r="D352" s="899"/>
      <c r="E352" s="899"/>
      <c r="F352" s="899"/>
      <c r="G352" s="899"/>
      <c r="H352" s="899"/>
      <c r="I352" s="905"/>
      <c r="J352" s="905"/>
    </row>
    <row r="353" spans="8:8" hidden="1"/>
    <row r="354" spans="8:8">
      <c r="H354" s="227"/>
    </row>
    <row r="355" spans="8:8">
      <c r="H355" s="227"/>
    </row>
  </sheetData>
  <mergeCells count="588">
    <mergeCell ref="B3:J3"/>
    <mergeCell ref="E7:F7"/>
    <mergeCell ref="B199:H199"/>
    <mergeCell ref="E214:H214"/>
    <mergeCell ref="E215:H215"/>
    <mergeCell ref="E216:H216"/>
    <mergeCell ref="B2:J2"/>
    <mergeCell ref="C12:H12"/>
    <mergeCell ref="I12:J12"/>
    <mergeCell ref="C14:H14"/>
    <mergeCell ref="I14:J14"/>
    <mergeCell ref="C15:H15"/>
    <mergeCell ref="I15:J15"/>
    <mergeCell ref="C13:H13"/>
    <mergeCell ref="I13:J13"/>
    <mergeCell ref="B11:J11"/>
    <mergeCell ref="B8:D8"/>
    <mergeCell ref="B9:D9"/>
    <mergeCell ref="E8:J8"/>
    <mergeCell ref="E9:J9"/>
    <mergeCell ref="B10:D10"/>
    <mergeCell ref="E10:J10"/>
    <mergeCell ref="B18:F18"/>
    <mergeCell ref="G18:H18"/>
    <mergeCell ref="I18:J18"/>
    <mergeCell ref="B19:F19"/>
    <mergeCell ref="G19:H19"/>
    <mergeCell ref="I19:J19"/>
    <mergeCell ref="B16:J16"/>
    <mergeCell ref="B17:F17"/>
    <mergeCell ref="G17:H17"/>
    <mergeCell ref="I17:J17"/>
    <mergeCell ref="B22:F22"/>
    <mergeCell ref="G22:H22"/>
    <mergeCell ref="I22:J22"/>
    <mergeCell ref="B23:F23"/>
    <mergeCell ref="G23:H23"/>
    <mergeCell ref="I23:J23"/>
    <mergeCell ref="B20:F20"/>
    <mergeCell ref="G20:H20"/>
    <mergeCell ref="I20:J20"/>
    <mergeCell ref="B21:F21"/>
    <mergeCell ref="G21:H21"/>
    <mergeCell ref="I21:J21"/>
    <mergeCell ref="B27:F27"/>
    <mergeCell ref="G27:H27"/>
    <mergeCell ref="I27:J27"/>
    <mergeCell ref="B28:F28"/>
    <mergeCell ref="G28:H28"/>
    <mergeCell ref="I28:J28"/>
    <mergeCell ref="B24:H24"/>
    <mergeCell ref="I24:J24"/>
    <mergeCell ref="B25:J25"/>
    <mergeCell ref="B26:F26"/>
    <mergeCell ref="G26:H26"/>
    <mergeCell ref="I26:J26"/>
    <mergeCell ref="B31:F31"/>
    <mergeCell ref="G31:H31"/>
    <mergeCell ref="I31:J31"/>
    <mergeCell ref="B32:H32"/>
    <mergeCell ref="I32:J32"/>
    <mergeCell ref="B29:F29"/>
    <mergeCell ref="G29:H29"/>
    <mergeCell ref="I29:J29"/>
    <mergeCell ref="B30:F30"/>
    <mergeCell ref="G30:H30"/>
    <mergeCell ref="I30:J30"/>
    <mergeCell ref="B35:F35"/>
    <mergeCell ref="G35:H35"/>
    <mergeCell ref="I35:J35"/>
    <mergeCell ref="B36:F36"/>
    <mergeCell ref="G36:H36"/>
    <mergeCell ref="I36:J36"/>
    <mergeCell ref="B33:J33"/>
    <mergeCell ref="B34:F34"/>
    <mergeCell ref="G34:H34"/>
    <mergeCell ref="I34:J34"/>
    <mergeCell ref="B40:H40"/>
    <mergeCell ref="I40:J40"/>
    <mergeCell ref="B41:J41"/>
    <mergeCell ref="B42:F42"/>
    <mergeCell ref="G42:H42"/>
    <mergeCell ref="I42:J42"/>
    <mergeCell ref="B37:H37"/>
    <mergeCell ref="I37:J37"/>
    <mergeCell ref="B38:J38"/>
    <mergeCell ref="B39:F39"/>
    <mergeCell ref="G39:H39"/>
    <mergeCell ref="I39:J39"/>
    <mergeCell ref="B46:J46"/>
    <mergeCell ref="B47:J47"/>
    <mergeCell ref="B48:J48"/>
    <mergeCell ref="B49:J49"/>
    <mergeCell ref="B43:H43"/>
    <mergeCell ref="I43:J43"/>
    <mergeCell ref="B44:J44"/>
    <mergeCell ref="B45:H45"/>
    <mergeCell ref="I45:J45"/>
    <mergeCell ref="C53:H53"/>
    <mergeCell ref="I53:J53"/>
    <mergeCell ref="C54:H54"/>
    <mergeCell ref="I54:J54"/>
    <mergeCell ref="B50:J50"/>
    <mergeCell ref="C51:H51"/>
    <mergeCell ref="I51:J51"/>
    <mergeCell ref="I52:J52"/>
    <mergeCell ref="C52:E52"/>
    <mergeCell ref="F52:G52"/>
    <mergeCell ref="B62:I62"/>
    <mergeCell ref="B63:J63"/>
    <mergeCell ref="C64:I64"/>
    <mergeCell ref="C65:I65"/>
    <mergeCell ref="C59:H59"/>
    <mergeCell ref="C60:I60"/>
    <mergeCell ref="C61:H61"/>
    <mergeCell ref="B55:J55"/>
    <mergeCell ref="B56:J56"/>
    <mergeCell ref="B57:J57"/>
    <mergeCell ref="B58:J58"/>
    <mergeCell ref="C74:I74"/>
    <mergeCell ref="C75:I75"/>
    <mergeCell ref="B76:J76"/>
    <mergeCell ref="B77:J77"/>
    <mergeCell ref="C70:I70"/>
    <mergeCell ref="C71:I71"/>
    <mergeCell ref="C72:I72"/>
    <mergeCell ref="C73:I73"/>
    <mergeCell ref="C66:H66"/>
    <mergeCell ref="C67:H67"/>
    <mergeCell ref="C68:I68"/>
    <mergeCell ref="C69:H69"/>
    <mergeCell ref="B87:J87"/>
    <mergeCell ref="B88:J88"/>
    <mergeCell ref="B90:J90"/>
    <mergeCell ref="C91:H91"/>
    <mergeCell ref="C82:I82"/>
    <mergeCell ref="C83:I83"/>
    <mergeCell ref="C85:I85"/>
    <mergeCell ref="B86:I86"/>
    <mergeCell ref="B78:J78"/>
    <mergeCell ref="B79:J79"/>
    <mergeCell ref="C80:I80"/>
    <mergeCell ref="C81:I81"/>
    <mergeCell ref="C84:I84"/>
    <mergeCell ref="B100:H100"/>
    <mergeCell ref="B102:J102"/>
    <mergeCell ref="B103:J103"/>
    <mergeCell ref="B104:J104"/>
    <mergeCell ref="C96:H96"/>
    <mergeCell ref="C97:H97"/>
    <mergeCell ref="C98:D98"/>
    <mergeCell ref="C99:H99"/>
    <mergeCell ref="C92:H92"/>
    <mergeCell ref="C93:H93"/>
    <mergeCell ref="C94:H94"/>
    <mergeCell ref="C95:H95"/>
    <mergeCell ref="C113:I113"/>
    <mergeCell ref="C114:I114"/>
    <mergeCell ref="B115:I115"/>
    <mergeCell ref="B116:J116"/>
    <mergeCell ref="B109:I109"/>
    <mergeCell ref="B110:J110"/>
    <mergeCell ref="B111:J111"/>
    <mergeCell ref="C112:I112"/>
    <mergeCell ref="C105:I105"/>
    <mergeCell ref="C106:I106"/>
    <mergeCell ref="B107:I107"/>
    <mergeCell ref="C108:I108"/>
    <mergeCell ref="C121:I121"/>
    <mergeCell ref="C122:I122"/>
    <mergeCell ref="C123:I123"/>
    <mergeCell ref="B124:I124"/>
    <mergeCell ref="C126:I126"/>
    <mergeCell ref="C117:I117"/>
    <mergeCell ref="C118:I118"/>
    <mergeCell ref="C119:I119"/>
    <mergeCell ref="C120:I120"/>
    <mergeCell ref="B134:I134"/>
    <mergeCell ref="C135:I135"/>
    <mergeCell ref="B136:I136"/>
    <mergeCell ref="B137:J137"/>
    <mergeCell ref="C130:I130"/>
    <mergeCell ref="C131:I131"/>
    <mergeCell ref="C132:I132"/>
    <mergeCell ref="C133:I133"/>
    <mergeCell ref="B125:J125"/>
    <mergeCell ref="C127:I127"/>
    <mergeCell ref="C128:I128"/>
    <mergeCell ref="C129:I129"/>
    <mergeCell ref="B146:J146"/>
    <mergeCell ref="C147:H147"/>
    <mergeCell ref="B148:H148"/>
    <mergeCell ref="C149:H149"/>
    <mergeCell ref="C142:I142"/>
    <mergeCell ref="C143:I143"/>
    <mergeCell ref="C144:I144"/>
    <mergeCell ref="B145:I145"/>
    <mergeCell ref="C138:I138"/>
    <mergeCell ref="C139:I139"/>
    <mergeCell ref="C140:I140"/>
    <mergeCell ref="C141:I141"/>
    <mergeCell ref="C158:H158"/>
    <mergeCell ref="C159:H159"/>
    <mergeCell ref="C160:H160"/>
    <mergeCell ref="B161:I161"/>
    <mergeCell ref="C154:H154"/>
    <mergeCell ref="C155:H155"/>
    <mergeCell ref="C156:H156"/>
    <mergeCell ref="C157:H157"/>
    <mergeCell ref="B150:H150"/>
    <mergeCell ref="C151:H151"/>
    <mergeCell ref="B152:H152"/>
    <mergeCell ref="C153:H153"/>
    <mergeCell ref="B171:I171"/>
    <mergeCell ref="C172:I172"/>
    <mergeCell ref="C173:I173"/>
    <mergeCell ref="C174:I174"/>
    <mergeCell ref="B167:J167"/>
    <mergeCell ref="B168:J168"/>
    <mergeCell ref="B169:J169"/>
    <mergeCell ref="B170:J170"/>
    <mergeCell ref="B162:J162"/>
    <mergeCell ref="B163:H163"/>
    <mergeCell ref="B164:C166"/>
    <mergeCell ref="D164:J164"/>
    <mergeCell ref="D165:J165"/>
    <mergeCell ref="D166:J166"/>
    <mergeCell ref="B179:J179"/>
    <mergeCell ref="B180:J180"/>
    <mergeCell ref="B181:C181"/>
    <mergeCell ref="D181:E181"/>
    <mergeCell ref="G181:H181"/>
    <mergeCell ref="C175:I175"/>
    <mergeCell ref="B176:I176"/>
    <mergeCell ref="C177:I177"/>
    <mergeCell ref="B178:I178"/>
    <mergeCell ref="B186:J186"/>
    <mergeCell ref="B187:J187"/>
    <mergeCell ref="B188:I188"/>
    <mergeCell ref="C189:I189"/>
    <mergeCell ref="B184:C184"/>
    <mergeCell ref="D184:E184"/>
    <mergeCell ref="G184:H184"/>
    <mergeCell ref="B185:I185"/>
    <mergeCell ref="B182:C182"/>
    <mergeCell ref="D182:E182"/>
    <mergeCell ref="G182:H182"/>
    <mergeCell ref="B183:C183"/>
    <mergeCell ref="D183:E183"/>
    <mergeCell ref="G183:H183"/>
    <mergeCell ref="B194:J194"/>
    <mergeCell ref="B196:J196"/>
    <mergeCell ref="B197:J197"/>
    <mergeCell ref="B218:J218"/>
    <mergeCell ref="B195:J195"/>
    <mergeCell ref="C190:I190"/>
    <mergeCell ref="C191:I191"/>
    <mergeCell ref="B192:J192"/>
    <mergeCell ref="B193:J193"/>
    <mergeCell ref="E200:H200"/>
    <mergeCell ref="E201:H201"/>
    <mergeCell ref="E202:H202"/>
    <mergeCell ref="E203:H203"/>
    <mergeCell ref="E204:H204"/>
    <mergeCell ref="E205:H205"/>
    <mergeCell ref="E206:H206"/>
    <mergeCell ref="E207:H207"/>
    <mergeCell ref="E208:H208"/>
    <mergeCell ref="E209:H209"/>
    <mergeCell ref="E210:H210"/>
    <mergeCell ref="E211:H211"/>
    <mergeCell ref="E212:H212"/>
    <mergeCell ref="E213:H213"/>
    <mergeCell ref="I199:J199"/>
    <mergeCell ref="B223:C223"/>
    <mergeCell ref="D223:E223"/>
    <mergeCell ref="F223:G223"/>
    <mergeCell ref="H223:J223"/>
    <mergeCell ref="B222:C222"/>
    <mergeCell ref="D222:E222"/>
    <mergeCell ref="F222:G222"/>
    <mergeCell ref="H222:J222"/>
    <mergeCell ref="B220:J220"/>
    <mergeCell ref="B221:C221"/>
    <mergeCell ref="D221:E221"/>
    <mergeCell ref="F221:G221"/>
    <mergeCell ref="H221:J221"/>
    <mergeCell ref="B227:C227"/>
    <mergeCell ref="D227:E227"/>
    <mergeCell ref="F227:G227"/>
    <mergeCell ref="H227:J227"/>
    <mergeCell ref="B224:G224"/>
    <mergeCell ref="H224:J224"/>
    <mergeCell ref="B225:J225"/>
    <mergeCell ref="B226:C226"/>
    <mergeCell ref="D226:E226"/>
    <mergeCell ref="F226:G226"/>
    <mergeCell ref="H226:J226"/>
    <mergeCell ref="B231:C231"/>
    <mergeCell ref="D231:E231"/>
    <mergeCell ref="F231:G231"/>
    <mergeCell ref="H231:J231"/>
    <mergeCell ref="B228:G228"/>
    <mergeCell ref="H228:J228"/>
    <mergeCell ref="B229:J229"/>
    <mergeCell ref="B230:C230"/>
    <mergeCell ref="D230:E230"/>
    <mergeCell ref="F230:G230"/>
    <mergeCell ref="H230:J230"/>
    <mergeCell ref="B235:C235"/>
    <mergeCell ref="D235:E235"/>
    <mergeCell ref="F235:G235"/>
    <mergeCell ref="H235:J235"/>
    <mergeCell ref="B232:G232"/>
    <mergeCell ref="H232:J232"/>
    <mergeCell ref="B233:J233"/>
    <mergeCell ref="B234:C234"/>
    <mergeCell ref="D234:E234"/>
    <mergeCell ref="F234:G234"/>
    <mergeCell ref="H234:J234"/>
    <mergeCell ref="B239:C239"/>
    <mergeCell ref="D239:E239"/>
    <mergeCell ref="F239:G239"/>
    <mergeCell ref="H239:J239"/>
    <mergeCell ref="B236:G236"/>
    <mergeCell ref="H236:J236"/>
    <mergeCell ref="B237:J237"/>
    <mergeCell ref="B238:C238"/>
    <mergeCell ref="D238:E238"/>
    <mergeCell ref="F238:G238"/>
    <mergeCell ref="H238:J238"/>
    <mergeCell ref="B243:C243"/>
    <mergeCell ref="D243:E243"/>
    <mergeCell ref="F243:G243"/>
    <mergeCell ref="H243:J243"/>
    <mergeCell ref="B240:G240"/>
    <mergeCell ref="H240:J240"/>
    <mergeCell ref="B241:J241"/>
    <mergeCell ref="B242:C242"/>
    <mergeCell ref="D242:E242"/>
    <mergeCell ref="F242:G242"/>
    <mergeCell ref="H242:J242"/>
    <mergeCell ref="B249:C249"/>
    <mergeCell ref="D249:E249"/>
    <mergeCell ref="F249:G249"/>
    <mergeCell ref="H249:J249"/>
    <mergeCell ref="B248:C248"/>
    <mergeCell ref="D248:E248"/>
    <mergeCell ref="F248:G248"/>
    <mergeCell ref="H248:J248"/>
    <mergeCell ref="B244:G244"/>
    <mergeCell ref="H244:J244"/>
    <mergeCell ref="B245:J245"/>
    <mergeCell ref="B247:J247"/>
    <mergeCell ref="B251:G251"/>
    <mergeCell ref="H251:J251"/>
    <mergeCell ref="B252:J252"/>
    <mergeCell ref="B253:C253"/>
    <mergeCell ref="D253:E253"/>
    <mergeCell ref="F253:G253"/>
    <mergeCell ref="H253:J253"/>
    <mergeCell ref="B250:C250"/>
    <mergeCell ref="D250:E250"/>
    <mergeCell ref="F250:G250"/>
    <mergeCell ref="H250:J250"/>
    <mergeCell ref="B255:G255"/>
    <mergeCell ref="H255:J255"/>
    <mergeCell ref="B256:J256"/>
    <mergeCell ref="B257:C257"/>
    <mergeCell ref="D257:E257"/>
    <mergeCell ref="F257:G257"/>
    <mergeCell ref="H257:J257"/>
    <mergeCell ref="B254:C254"/>
    <mergeCell ref="D254:E254"/>
    <mergeCell ref="F254:G254"/>
    <mergeCell ref="H254:J254"/>
    <mergeCell ref="B259:G259"/>
    <mergeCell ref="H259:J259"/>
    <mergeCell ref="B260:J260"/>
    <mergeCell ref="B261:C261"/>
    <mergeCell ref="D261:E261"/>
    <mergeCell ref="F261:G261"/>
    <mergeCell ref="H261:J261"/>
    <mergeCell ref="B258:C258"/>
    <mergeCell ref="D258:E258"/>
    <mergeCell ref="F258:G258"/>
    <mergeCell ref="H258:J258"/>
    <mergeCell ref="B263:G263"/>
    <mergeCell ref="H263:J263"/>
    <mergeCell ref="B264:J264"/>
    <mergeCell ref="B265:C265"/>
    <mergeCell ref="D265:E265"/>
    <mergeCell ref="F265:G265"/>
    <mergeCell ref="H265:J265"/>
    <mergeCell ref="B262:C262"/>
    <mergeCell ref="D262:E262"/>
    <mergeCell ref="F262:G262"/>
    <mergeCell ref="H262:J262"/>
    <mergeCell ref="B267:G267"/>
    <mergeCell ref="H267:J267"/>
    <mergeCell ref="B268:J268"/>
    <mergeCell ref="B269:C269"/>
    <mergeCell ref="D269:E269"/>
    <mergeCell ref="F269:G269"/>
    <mergeCell ref="H269:J269"/>
    <mergeCell ref="B266:C266"/>
    <mergeCell ref="D266:E266"/>
    <mergeCell ref="F266:G266"/>
    <mergeCell ref="H266:J266"/>
    <mergeCell ref="E274:F274"/>
    <mergeCell ref="I274:J274"/>
    <mergeCell ref="E275:F275"/>
    <mergeCell ref="I275:J275"/>
    <mergeCell ref="B271:G271"/>
    <mergeCell ref="H271:J271"/>
    <mergeCell ref="B273:J273"/>
    <mergeCell ref="B270:C270"/>
    <mergeCell ref="D270:E270"/>
    <mergeCell ref="F270:G270"/>
    <mergeCell ref="H270:J270"/>
    <mergeCell ref="B279:J279"/>
    <mergeCell ref="E281:F281"/>
    <mergeCell ref="I281:J281"/>
    <mergeCell ref="E282:F282"/>
    <mergeCell ref="I282:J282"/>
    <mergeCell ref="E276:F276"/>
    <mergeCell ref="I276:J276"/>
    <mergeCell ref="B277:H277"/>
    <mergeCell ref="I277:J277"/>
    <mergeCell ref="B278:J278"/>
    <mergeCell ref="E280:F280"/>
    <mergeCell ref="I280:J280"/>
    <mergeCell ref="E290:F290"/>
    <mergeCell ref="I290:J290"/>
    <mergeCell ref="B289:J289"/>
    <mergeCell ref="E286:F286"/>
    <mergeCell ref="I286:J286"/>
    <mergeCell ref="B287:H287"/>
    <mergeCell ref="I287:J287"/>
    <mergeCell ref="B283:H283"/>
    <mergeCell ref="I283:J283"/>
    <mergeCell ref="B284:J284"/>
    <mergeCell ref="E285:F285"/>
    <mergeCell ref="I285:J285"/>
    <mergeCell ref="B296:C296"/>
    <mergeCell ref="D296:E296"/>
    <mergeCell ref="F296:G296"/>
    <mergeCell ref="H296:J296"/>
    <mergeCell ref="B293:H293"/>
    <mergeCell ref="I293:J293"/>
    <mergeCell ref="E291:F291"/>
    <mergeCell ref="I291:J291"/>
    <mergeCell ref="E292:F292"/>
    <mergeCell ref="I292:J292"/>
    <mergeCell ref="B295:J295"/>
    <mergeCell ref="B299:G299"/>
    <mergeCell ref="H299:J299"/>
    <mergeCell ref="B301:J301"/>
    <mergeCell ref="B298:C298"/>
    <mergeCell ref="D298:E298"/>
    <mergeCell ref="F298:G298"/>
    <mergeCell ref="H298:J298"/>
    <mergeCell ref="B297:C297"/>
    <mergeCell ref="D297:E297"/>
    <mergeCell ref="F297:G297"/>
    <mergeCell ref="H297:J297"/>
    <mergeCell ref="B305:D305"/>
    <mergeCell ref="E305:F305"/>
    <mergeCell ref="H305:J305"/>
    <mergeCell ref="B306:D306"/>
    <mergeCell ref="E306:F306"/>
    <mergeCell ref="H306:J306"/>
    <mergeCell ref="B302:J303"/>
    <mergeCell ref="B304:D304"/>
    <mergeCell ref="E304:F304"/>
    <mergeCell ref="H304:J304"/>
    <mergeCell ref="B309:D309"/>
    <mergeCell ref="E309:F309"/>
    <mergeCell ref="H309:J309"/>
    <mergeCell ref="B310:D310"/>
    <mergeCell ref="E310:F310"/>
    <mergeCell ref="H310:J310"/>
    <mergeCell ref="B307:D307"/>
    <mergeCell ref="E307:F307"/>
    <mergeCell ref="H307:J307"/>
    <mergeCell ref="B308:D308"/>
    <mergeCell ref="E308:F308"/>
    <mergeCell ref="H308:J308"/>
    <mergeCell ref="B314:D314"/>
    <mergeCell ref="E314:F314"/>
    <mergeCell ref="H314:J314"/>
    <mergeCell ref="B315:D315"/>
    <mergeCell ref="E315:F315"/>
    <mergeCell ref="H315:J315"/>
    <mergeCell ref="B311:F311"/>
    <mergeCell ref="H311:J311"/>
    <mergeCell ref="B312:J312"/>
    <mergeCell ref="B313:D313"/>
    <mergeCell ref="E313:F313"/>
    <mergeCell ref="H313:J313"/>
    <mergeCell ref="B318:D318"/>
    <mergeCell ref="E318:F318"/>
    <mergeCell ref="H318:J318"/>
    <mergeCell ref="B319:F319"/>
    <mergeCell ref="H319:J319"/>
    <mergeCell ref="B316:D316"/>
    <mergeCell ref="E316:F316"/>
    <mergeCell ref="H316:J316"/>
    <mergeCell ref="B317:D317"/>
    <mergeCell ref="E317:F317"/>
    <mergeCell ref="H317:J317"/>
    <mergeCell ref="B322:D322"/>
    <mergeCell ref="E322:F322"/>
    <mergeCell ref="H322:J322"/>
    <mergeCell ref="B323:D323"/>
    <mergeCell ref="E323:F323"/>
    <mergeCell ref="H323:J323"/>
    <mergeCell ref="B320:J320"/>
    <mergeCell ref="B321:D321"/>
    <mergeCell ref="E321:F321"/>
    <mergeCell ref="H321:J321"/>
    <mergeCell ref="B327:F327"/>
    <mergeCell ref="H327:J327"/>
    <mergeCell ref="B328:J328"/>
    <mergeCell ref="B329:D329"/>
    <mergeCell ref="E329:F329"/>
    <mergeCell ref="H329:J329"/>
    <mergeCell ref="B324:F324"/>
    <mergeCell ref="H324:J324"/>
    <mergeCell ref="B325:J325"/>
    <mergeCell ref="B326:D326"/>
    <mergeCell ref="E326:F326"/>
    <mergeCell ref="H326:J326"/>
    <mergeCell ref="B337:J337"/>
    <mergeCell ref="B338:G338"/>
    <mergeCell ref="H338:J338"/>
    <mergeCell ref="B333:J333"/>
    <mergeCell ref="B334:G334"/>
    <mergeCell ref="H334:J334"/>
    <mergeCell ref="B335:J335"/>
    <mergeCell ref="B330:F330"/>
    <mergeCell ref="H330:J330"/>
    <mergeCell ref="B331:J331"/>
    <mergeCell ref="B332:F332"/>
    <mergeCell ref="H332:J332"/>
    <mergeCell ref="B336:G336"/>
    <mergeCell ref="H336:J336"/>
    <mergeCell ref="B352:H352"/>
    <mergeCell ref="I352:J352"/>
    <mergeCell ref="B350:H350"/>
    <mergeCell ref="I350:J350"/>
    <mergeCell ref="B351:H351"/>
    <mergeCell ref="I351:J351"/>
    <mergeCell ref="B348:J348"/>
    <mergeCell ref="B349:H349"/>
    <mergeCell ref="I349:J349"/>
    <mergeCell ref="B343:H343"/>
    <mergeCell ref="I343:J343"/>
    <mergeCell ref="B344:H344"/>
    <mergeCell ref="I344:J344"/>
    <mergeCell ref="B345:J345"/>
    <mergeCell ref="B346:J347"/>
    <mergeCell ref="B339:J339"/>
    <mergeCell ref="B340:J340"/>
    <mergeCell ref="B341:H342"/>
    <mergeCell ref="I341:J342"/>
    <mergeCell ref="B215:D215"/>
    <mergeCell ref="B216:D216"/>
    <mergeCell ref="I200:J200"/>
    <mergeCell ref="I201:J201"/>
    <mergeCell ref="I202:J202"/>
    <mergeCell ref="I203:J203"/>
    <mergeCell ref="I204:J204"/>
    <mergeCell ref="I205:J205"/>
    <mergeCell ref="I206:J206"/>
    <mergeCell ref="I207:J207"/>
    <mergeCell ref="I208:J208"/>
    <mergeCell ref="I209:J209"/>
    <mergeCell ref="I210:J210"/>
    <mergeCell ref="I211:J211"/>
    <mergeCell ref="I212:J212"/>
    <mergeCell ref="I213:J213"/>
    <mergeCell ref="I214:J214"/>
    <mergeCell ref="I215:J215"/>
    <mergeCell ref="I216:J216"/>
    <mergeCell ref="B200:D205"/>
    <mergeCell ref="B206:D211"/>
    <mergeCell ref="B212:D214"/>
  </mergeCells>
  <phoneticPr fontId="0" type="noConversion"/>
  <pageMargins left="0.78740157499999996" right="0.78740157499999996" top="0.984251969" bottom="0.984251969" header="0.49212598499999999" footer="0.49212598499999999"/>
  <pageSetup paperSize="9" scale="73" orientation="portrait" horizontalDpi="1200" r:id="rId1"/>
  <headerFooter alignWithMargins="0"/>
  <rowBreaks count="2" manualBreakCount="2">
    <brk id="65" min="1" max="9" man="1"/>
    <brk id="124" max="16383" man="1"/>
  </rowBreaks>
</worksheet>
</file>

<file path=xl/worksheets/sheet7.xml><?xml version="1.0" encoding="utf-8"?>
<worksheet xmlns="http://schemas.openxmlformats.org/spreadsheetml/2006/main" xmlns:r="http://schemas.openxmlformats.org/officeDocument/2006/relationships">
  <dimension ref="A2:IV350"/>
  <sheetViews>
    <sheetView view="pageBreakPreview" topLeftCell="A19" zoomScale="120" zoomScaleNormal="100" zoomScaleSheetLayoutView="120" workbookViewId="0">
      <selection activeCell="G318" sqref="G318:I318"/>
    </sheetView>
  </sheetViews>
  <sheetFormatPr defaultRowHeight="12"/>
  <cols>
    <col min="1" max="1" width="15.28515625" style="1" customWidth="1"/>
    <col min="2" max="2" width="11.140625" style="1" customWidth="1"/>
    <col min="3" max="3" width="13.28515625" style="1" customWidth="1"/>
    <col min="4" max="4" width="10.140625" style="1" customWidth="1"/>
    <col min="5" max="5" width="12.42578125" style="1" bestFit="1" customWidth="1"/>
    <col min="6" max="6" width="11.28515625" style="1" bestFit="1" customWidth="1"/>
    <col min="7" max="7" width="9.85546875" style="1" customWidth="1"/>
    <col min="8" max="8" width="12.42578125" style="1" customWidth="1"/>
    <col min="9" max="9" width="14.5703125" style="46" customWidth="1"/>
    <col min="10" max="10" width="28.42578125" style="1" customWidth="1"/>
    <col min="11" max="11" width="11.140625" style="1" customWidth="1"/>
    <col min="12" max="12" width="7.42578125" style="1" customWidth="1"/>
    <col min="13" max="13" width="6.5703125" style="1" customWidth="1"/>
    <col min="14" max="15" width="9.28515625" style="1" bestFit="1" customWidth="1"/>
    <col min="16" max="16384" width="9.140625" style="1"/>
  </cols>
  <sheetData>
    <row r="2" spans="1:9" ht="23.25">
      <c r="A2" s="483" t="s">
        <v>100</v>
      </c>
      <c r="B2" s="483"/>
      <c r="C2" s="483"/>
      <c r="D2" s="483"/>
      <c r="E2" s="483"/>
      <c r="F2" s="483"/>
      <c r="G2" s="483"/>
      <c r="H2" s="483"/>
      <c r="I2" s="484"/>
    </row>
    <row r="3" spans="1:9" ht="48.75" customHeight="1">
      <c r="A3" s="489" t="s">
        <v>80</v>
      </c>
      <c r="B3" s="489"/>
      <c r="C3" s="489"/>
      <c r="D3" s="489"/>
      <c r="E3" s="489"/>
      <c r="F3" s="489"/>
      <c r="G3" s="489"/>
      <c r="H3" s="489"/>
      <c r="I3" s="490"/>
    </row>
    <row r="4" spans="1:9" ht="15.75" customHeight="1">
      <c r="A4" s="532" t="s">
        <v>296</v>
      </c>
      <c r="B4" s="533"/>
      <c r="C4" s="533"/>
      <c r="D4" s="533"/>
      <c r="E4" s="629"/>
      <c r="F4" s="614" t="s">
        <v>39</v>
      </c>
      <c r="G4" s="615"/>
      <c r="H4" s="615"/>
      <c r="I4" s="616"/>
    </row>
    <row r="5" spans="1:9" ht="15.75" customHeight="1">
      <c r="A5" s="532" t="s">
        <v>297</v>
      </c>
      <c r="B5" s="533"/>
      <c r="C5" s="533"/>
      <c r="D5" s="533"/>
      <c r="E5" s="629"/>
      <c r="F5" s="614" t="s">
        <v>41</v>
      </c>
      <c r="G5" s="615"/>
      <c r="H5" s="615"/>
      <c r="I5" s="616"/>
    </row>
    <row r="6" spans="1:9" ht="21.75" customHeight="1">
      <c r="A6" s="507" t="s">
        <v>40</v>
      </c>
      <c r="B6" s="714"/>
      <c r="C6" s="714"/>
      <c r="D6" s="714"/>
      <c r="E6" s="714"/>
      <c r="F6" s="714"/>
      <c r="G6" s="714"/>
      <c r="H6" s="714"/>
      <c r="I6" s="714"/>
    </row>
    <row r="7" spans="1:9" ht="20.25" customHeight="1">
      <c r="A7" s="528" t="s">
        <v>258</v>
      </c>
      <c r="B7" s="715"/>
      <c r="C7" s="715"/>
      <c r="D7" s="715"/>
      <c r="E7" s="715"/>
      <c r="F7" s="715"/>
      <c r="G7" s="715"/>
      <c r="H7" s="715"/>
      <c r="I7" s="636"/>
    </row>
    <row r="8" spans="1:9" ht="15.75" customHeight="1">
      <c r="A8" s="84" t="s">
        <v>259</v>
      </c>
      <c r="B8" s="507" t="s">
        <v>260</v>
      </c>
      <c r="C8" s="714"/>
      <c r="D8" s="714"/>
      <c r="E8" s="714"/>
      <c r="F8" s="714"/>
      <c r="G8" s="714"/>
      <c r="H8" s="716">
        <v>42368</v>
      </c>
      <c r="I8" s="616"/>
    </row>
    <row r="9" spans="1:9" ht="15.75" customHeight="1">
      <c r="A9" s="84" t="s">
        <v>261</v>
      </c>
      <c r="B9" s="507" t="s">
        <v>262</v>
      </c>
      <c r="C9" s="714"/>
      <c r="D9" s="714"/>
      <c r="E9" s="714"/>
      <c r="F9" s="714"/>
      <c r="G9" s="714"/>
      <c r="H9" s="719" t="s">
        <v>228</v>
      </c>
      <c r="I9" s="719"/>
    </row>
    <row r="10" spans="1:9" ht="37.5" customHeight="1">
      <c r="A10" s="84" t="s">
        <v>263</v>
      </c>
      <c r="B10" s="532" t="s">
        <v>352</v>
      </c>
      <c r="C10" s="653"/>
      <c r="D10" s="653"/>
      <c r="E10" s="653"/>
      <c r="F10" s="653"/>
      <c r="G10" s="654"/>
      <c r="H10" s="614" t="s">
        <v>42</v>
      </c>
      <c r="I10" s="616"/>
    </row>
    <row r="11" spans="1:9" ht="15.75" customHeight="1">
      <c r="A11" s="84" t="s">
        <v>264</v>
      </c>
      <c r="B11" s="532" t="s">
        <v>265</v>
      </c>
      <c r="C11" s="653"/>
      <c r="D11" s="653"/>
      <c r="E11" s="653"/>
      <c r="F11" s="653"/>
      <c r="G11" s="654"/>
      <c r="H11" s="614">
        <v>12</v>
      </c>
      <c r="I11" s="616"/>
    </row>
    <row r="12" spans="1:9" ht="27.75" customHeight="1">
      <c r="A12" s="501" t="s">
        <v>266</v>
      </c>
      <c r="B12" s="502"/>
      <c r="C12" s="502"/>
      <c r="D12" s="502"/>
      <c r="E12" s="502"/>
      <c r="F12" s="502"/>
      <c r="G12" s="502"/>
      <c r="H12" s="502"/>
      <c r="I12" s="502"/>
    </row>
    <row r="13" spans="1:9" ht="43.5" customHeight="1">
      <c r="A13" s="338" t="s">
        <v>331</v>
      </c>
      <c r="B13" s="503"/>
      <c r="C13" s="503"/>
      <c r="D13" s="503"/>
      <c r="E13" s="503"/>
      <c r="F13" s="338" t="s">
        <v>353</v>
      </c>
      <c r="G13" s="447"/>
      <c r="H13" s="717" t="s">
        <v>267</v>
      </c>
      <c r="I13" s="718"/>
    </row>
    <row r="14" spans="1:9" ht="12.75" customHeight="1">
      <c r="A14" s="428" t="s">
        <v>421</v>
      </c>
      <c r="B14" s="512"/>
      <c r="C14" s="512"/>
      <c r="D14" s="512"/>
      <c r="E14" s="512"/>
      <c r="F14" s="496" t="s">
        <v>268</v>
      </c>
      <c r="G14" s="496"/>
      <c r="H14" s="495">
        <v>300</v>
      </c>
      <c r="I14" s="393"/>
    </row>
    <row r="15" spans="1:9" ht="12.75" customHeight="1">
      <c r="A15" s="428" t="s">
        <v>168</v>
      </c>
      <c r="B15" s="512"/>
      <c r="C15" s="512"/>
      <c r="D15" s="512"/>
      <c r="E15" s="512"/>
      <c r="F15" s="496" t="s">
        <v>268</v>
      </c>
      <c r="G15" s="496"/>
      <c r="H15" s="495">
        <v>0</v>
      </c>
      <c r="I15" s="393"/>
    </row>
    <row r="16" spans="1:9" ht="12.75" customHeight="1">
      <c r="A16" s="360" t="s">
        <v>422</v>
      </c>
      <c r="B16" s="497"/>
      <c r="C16" s="497"/>
      <c r="D16" s="497"/>
      <c r="E16" s="498"/>
      <c r="F16" s="493" t="s">
        <v>268</v>
      </c>
      <c r="G16" s="494"/>
      <c r="H16" s="495">
        <v>150</v>
      </c>
      <c r="I16" s="393"/>
    </row>
    <row r="17" spans="1:15" ht="12.75" customHeight="1">
      <c r="A17" s="360" t="s">
        <v>170</v>
      </c>
      <c r="B17" s="497"/>
      <c r="C17" s="497"/>
      <c r="D17" s="497"/>
      <c r="E17" s="498"/>
      <c r="F17" s="493" t="s">
        <v>268</v>
      </c>
      <c r="G17" s="494"/>
      <c r="H17" s="495">
        <v>0</v>
      </c>
      <c r="I17" s="393"/>
    </row>
    <row r="18" spans="1:15" ht="12.75" customHeight="1">
      <c r="A18" s="360" t="s">
        <v>171</v>
      </c>
      <c r="B18" s="497"/>
      <c r="C18" s="497"/>
      <c r="D18" s="497"/>
      <c r="E18" s="498"/>
      <c r="F18" s="493" t="s">
        <v>268</v>
      </c>
      <c r="G18" s="494"/>
      <c r="H18" s="495">
        <v>0</v>
      </c>
      <c r="I18" s="393"/>
    </row>
    <row r="19" spans="1:15" ht="12.75" customHeight="1">
      <c r="A19" s="360" t="s">
        <v>172</v>
      </c>
      <c r="B19" s="497"/>
      <c r="C19" s="497"/>
      <c r="D19" s="497"/>
      <c r="E19" s="498"/>
      <c r="F19" s="493" t="s">
        <v>268</v>
      </c>
      <c r="G19" s="494"/>
      <c r="H19" s="495">
        <v>0</v>
      </c>
      <c r="I19" s="393"/>
    </row>
    <row r="20" spans="1:15" ht="12.75" customHeight="1">
      <c r="A20" s="499" t="s">
        <v>173</v>
      </c>
      <c r="B20" s="386"/>
      <c r="C20" s="386"/>
      <c r="D20" s="386"/>
      <c r="E20" s="386"/>
      <c r="F20" s="386"/>
      <c r="G20" s="500"/>
      <c r="H20" s="394">
        <f>ROUND(H14+H15+H16+H17+H18+H19,2)</f>
        <v>450</v>
      </c>
      <c r="I20" s="500"/>
    </row>
    <row r="21" spans="1:15" ht="8.25" customHeight="1">
      <c r="A21" s="374"/>
      <c r="B21" s="485"/>
      <c r="C21" s="485"/>
      <c r="D21" s="485"/>
      <c r="E21" s="485"/>
      <c r="F21" s="485"/>
      <c r="G21" s="485"/>
      <c r="H21" s="485"/>
      <c r="I21" s="486"/>
    </row>
    <row r="22" spans="1:15" ht="23.25" customHeight="1">
      <c r="A22" s="428" t="s">
        <v>174</v>
      </c>
      <c r="B22" s="512"/>
      <c r="C22" s="512"/>
      <c r="D22" s="512"/>
      <c r="E22" s="512"/>
      <c r="F22" s="496" t="s">
        <v>268</v>
      </c>
      <c r="G22" s="496"/>
      <c r="H22" s="487">
        <v>0</v>
      </c>
      <c r="I22" s="488"/>
    </row>
    <row r="23" spans="1:15" ht="12.75" customHeight="1">
      <c r="A23" s="428" t="s">
        <v>175</v>
      </c>
      <c r="B23" s="513"/>
      <c r="C23" s="513"/>
      <c r="D23" s="513"/>
      <c r="E23" s="513"/>
      <c r="F23" s="508" t="s">
        <v>268</v>
      </c>
      <c r="G23" s="508"/>
      <c r="H23" s="487">
        <v>0</v>
      </c>
      <c r="I23" s="488"/>
    </row>
    <row r="24" spans="1:15" ht="12.75" customHeight="1">
      <c r="A24" s="428" t="s">
        <v>176</v>
      </c>
      <c r="B24" s="513"/>
      <c r="C24" s="513"/>
      <c r="D24" s="513"/>
      <c r="E24" s="513"/>
      <c r="F24" s="496" t="s">
        <v>268</v>
      </c>
      <c r="G24" s="496"/>
      <c r="H24" s="487">
        <v>0</v>
      </c>
      <c r="I24" s="488"/>
    </row>
    <row r="25" spans="1:15" ht="15.75" customHeight="1">
      <c r="A25" s="428" t="s">
        <v>177</v>
      </c>
      <c r="B25" s="513"/>
      <c r="C25" s="513"/>
      <c r="D25" s="513"/>
      <c r="E25" s="513"/>
      <c r="F25" s="508" t="s">
        <v>268</v>
      </c>
      <c r="G25" s="508"/>
      <c r="H25" s="487">
        <v>0</v>
      </c>
      <c r="I25" s="488"/>
    </row>
    <row r="26" spans="1:15" ht="14.25" customHeight="1">
      <c r="A26" s="428" t="s">
        <v>178</v>
      </c>
      <c r="B26" s="513"/>
      <c r="C26" s="513"/>
      <c r="D26" s="513"/>
      <c r="E26" s="513"/>
      <c r="F26" s="508" t="s">
        <v>268</v>
      </c>
      <c r="G26" s="508"/>
      <c r="H26" s="487">
        <v>0</v>
      </c>
      <c r="I26" s="488"/>
      <c r="J26" s="2" t="s">
        <v>141</v>
      </c>
      <c r="K26" s="2" t="s">
        <v>140</v>
      </c>
      <c r="L26" s="2" t="s">
        <v>143</v>
      </c>
      <c r="M26" s="2" t="s">
        <v>142</v>
      </c>
      <c r="N26" s="1" t="s">
        <v>157</v>
      </c>
      <c r="O26" s="1" t="s">
        <v>156</v>
      </c>
    </row>
    <row r="27" spans="1:15" ht="26.25" customHeight="1">
      <c r="A27" s="428" t="s">
        <v>179</v>
      </c>
      <c r="B27" s="513"/>
      <c r="C27" s="513"/>
      <c r="D27" s="513"/>
      <c r="E27" s="513"/>
      <c r="F27" s="496" t="s">
        <v>268</v>
      </c>
      <c r="G27" s="496"/>
      <c r="H27" s="487">
        <v>0</v>
      </c>
      <c r="I27" s="488"/>
      <c r="J27" s="12">
        <f>H59</f>
        <v>0</v>
      </c>
      <c r="K27" s="1">
        <v>220</v>
      </c>
      <c r="L27" s="1">
        <f>ROUND(J27/K27,2)</f>
        <v>0</v>
      </c>
      <c r="M27" s="1">
        <f>8*15*0</f>
        <v>0</v>
      </c>
      <c r="N27" s="12">
        <v>0</v>
      </c>
      <c r="O27" s="11">
        <v>0.5</v>
      </c>
    </row>
    <row r="28" spans="1:15" ht="15" customHeight="1">
      <c r="A28" s="515" t="s">
        <v>180</v>
      </c>
      <c r="B28" s="516"/>
      <c r="C28" s="516"/>
      <c r="D28" s="516"/>
      <c r="E28" s="516"/>
      <c r="F28" s="516"/>
      <c r="G28" s="516"/>
      <c r="H28" s="491">
        <v>0</v>
      </c>
      <c r="I28" s="492"/>
      <c r="J28" s="12"/>
      <c r="N28" s="12"/>
      <c r="O28" s="11"/>
    </row>
    <row r="29" spans="1:15" ht="7.5" customHeight="1">
      <c r="A29" s="374"/>
      <c r="B29" s="485"/>
      <c r="C29" s="485"/>
      <c r="D29" s="485"/>
      <c r="E29" s="485"/>
      <c r="F29" s="485"/>
      <c r="G29" s="485"/>
      <c r="H29" s="485"/>
      <c r="I29" s="486"/>
      <c r="J29" s="1" t="s">
        <v>138</v>
      </c>
      <c r="K29" s="1" t="s">
        <v>139</v>
      </c>
      <c r="N29" s="12"/>
      <c r="O29" s="11"/>
    </row>
    <row r="30" spans="1:15" ht="27" customHeight="1">
      <c r="A30" s="428" t="s">
        <v>181</v>
      </c>
      <c r="B30" s="512"/>
      <c r="C30" s="512"/>
      <c r="D30" s="512"/>
      <c r="E30" s="512"/>
      <c r="F30" s="496" t="s">
        <v>268</v>
      </c>
      <c r="G30" s="496"/>
      <c r="H30" s="487">
        <v>0</v>
      </c>
      <c r="I30" s="488"/>
      <c r="J30" s="11">
        <v>0</v>
      </c>
      <c r="K30" s="11">
        <v>0</v>
      </c>
    </row>
    <row r="31" spans="1:15" ht="25.5" customHeight="1">
      <c r="A31" s="428" t="s">
        <v>182</v>
      </c>
      <c r="B31" s="512"/>
      <c r="C31" s="512"/>
      <c r="D31" s="512"/>
      <c r="E31" s="512"/>
      <c r="F31" s="496" t="s">
        <v>268</v>
      </c>
      <c r="G31" s="496"/>
      <c r="H31" s="487">
        <v>0</v>
      </c>
      <c r="I31" s="488"/>
      <c r="J31" s="11">
        <v>0.1</v>
      </c>
      <c r="K31" s="11">
        <v>0.3</v>
      </c>
    </row>
    <row r="32" spans="1:15" ht="12.75">
      <c r="A32" s="360" t="s">
        <v>183</v>
      </c>
      <c r="B32" s="497"/>
      <c r="C32" s="497"/>
      <c r="D32" s="497"/>
      <c r="E32" s="498"/>
      <c r="F32" s="493" t="s">
        <v>268</v>
      </c>
      <c r="G32" s="494"/>
      <c r="H32" s="487">
        <v>0</v>
      </c>
      <c r="I32" s="488"/>
    </row>
    <row r="33" spans="1:12" ht="12.75">
      <c r="A33" s="509" t="s">
        <v>216</v>
      </c>
      <c r="B33" s="510"/>
      <c r="C33" s="510"/>
      <c r="D33" s="510"/>
      <c r="E33" s="510"/>
      <c r="F33" s="510"/>
      <c r="G33" s="511"/>
      <c r="H33" s="491">
        <v>0</v>
      </c>
      <c r="I33" s="492"/>
    </row>
    <row r="34" spans="1:12" ht="7.5" customHeight="1">
      <c r="A34" s="676"/>
      <c r="B34" s="485"/>
      <c r="C34" s="485"/>
      <c r="D34" s="485"/>
      <c r="E34" s="485"/>
      <c r="F34" s="485"/>
      <c r="G34" s="485"/>
      <c r="H34" s="485"/>
      <c r="I34" s="486"/>
    </row>
    <row r="35" spans="1:12" ht="12.75">
      <c r="A35" s="514" t="s">
        <v>214</v>
      </c>
      <c r="B35" s="514"/>
      <c r="C35" s="514"/>
      <c r="D35" s="514"/>
      <c r="E35" s="514"/>
      <c r="F35" s="493" t="s">
        <v>268</v>
      </c>
      <c r="G35" s="494"/>
      <c r="H35" s="391">
        <v>0</v>
      </c>
      <c r="I35" s="393"/>
    </row>
    <row r="36" spans="1:12" ht="12.75" customHeight="1">
      <c r="A36" s="681" t="s">
        <v>215</v>
      </c>
      <c r="B36" s="682"/>
      <c r="C36" s="682"/>
      <c r="D36" s="682"/>
      <c r="E36" s="682"/>
      <c r="F36" s="682"/>
      <c r="G36" s="683"/>
      <c r="H36" s="394">
        <f>H35</f>
        <v>0</v>
      </c>
      <c r="I36" s="500"/>
    </row>
    <row r="37" spans="1:12" ht="7.5" customHeight="1">
      <c r="A37" s="688"/>
      <c r="B37" s="689"/>
      <c r="C37" s="689"/>
      <c r="D37" s="689"/>
      <c r="E37" s="689"/>
      <c r="F37" s="689"/>
      <c r="G37" s="689"/>
      <c r="H37" s="689"/>
      <c r="I37" s="690"/>
    </row>
    <row r="38" spans="1:12" s="4" customFormat="1" ht="12.75">
      <c r="A38" s="514" t="s">
        <v>184</v>
      </c>
      <c r="B38" s="514"/>
      <c r="C38" s="514"/>
      <c r="D38" s="514"/>
      <c r="E38" s="514"/>
      <c r="F38" s="508" t="s">
        <v>268</v>
      </c>
      <c r="G38" s="508"/>
      <c r="H38" s="686">
        <v>0</v>
      </c>
      <c r="I38" s="687"/>
      <c r="J38" s="13" t="s">
        <v>144</v>
      </c>
      <c r="K38" s="1" t="s">
        <v>145</v>
      </c>
      <c r="L38" s="1" t="s">
        <v>146</v>
      </c>
    </row>
    <row r="39" spans="1:12" ht="12.75">
      <c r="A39" s="665" t="s">
        <v>91</v>
      </c>
      <c r="B39" s="510"/>
      <c r="C39" s="510"/>
      <c r="D39" s="510"/>
      <c r="E39" s="510"/>
      <c r="F39" s="510"/>
      <c r="G39" s="511"/>
      <c r="H39" s="684">
        <v>0</v>
      </c>
      <c r="I39" s="685"/>
      <c r="J39" s="1">
        <v>2.2999999999999998</v>
      </c>
      <c r="K39" s="14">
        <v>22</v>
      </c>
      <c r="L39" s="15">
        <v>5.5</v>
      </c>
    </row>
    <row r="40" spans="1:12" ht="8.25" customHeight="1">
      <c r="A40" s="122"/>
      <c r="B40" s="119"/>
      <c r="C40" s="119"/>
      <c r="D40" s="119"/>
      <c r="E40" s="119"/>
      <c r="F40" s="119"/>
      <c r="G40" s="119"/>
      <c r="H40" s="120"/>
      <c r="I40" s="121"/>
      <c r="K40" s="14"/>
      <c r="L40" s="15"/>
    </row>
    <row r="41" spans="1:12" ht="15.75" customHeight="1">
      <c r="A41" s="666" t="s">
        <v>92</v>
      </c>
      <c r="B41" s="667"/>
      <c r="C41" s="667"/>
      <c r="D41" s="667"/>
      <c r="E41" s="667"/>
      <c r="F41" s="508" t="s">
        <v>268</v>
      </c>
      <c r="G41" s="508"/>
      <c r="H41" s="679">
        <v>0</v>
      </c>
      <c r="I41" s="680"/>
      <c r="K41" s="14"/>
      <c r="L41" s="15"/>
    </row>
    <row r="42" spans="1:12" ht="15" customHeight="1">
      <c r="A42" s="509" t="s">
        <v>90</v>
      </c>
      <c r="B42" s="721"/>
      <c r="C42" s="721"/>
      <c r="D42" s="721"/>
      <c r="E42" s="721"/>
      <c r="F42" s="721"/>
      <c r="G42" s="722"/>
      <c r="H42" s="720">
        <v>0</v>
      </c>
      <c r="I42" s="396"/>
      <c r="K42" s="14"/>
      <c r="L42" s="15"/>
    </row>
    <row r="43" spans="1:12" ht="7.5" customHeight="1">
      <c r="A43" s="676"/>
      <c r="B43" s="485"/>
      <c r="C43" s="485"/>
      <c r="D43" s="485"/>
      <c r="E43" s="485"/>
      <c r="F43" s="485"/>
      <c r="G43" s="485"/>
      <c r="H43" s="485"/>
      <c r="I43" s="486"/>
    </row>
    <row r="44" spans="1:12" ht="12.75" customHeight="1">
      <c r="A44" s="662" t="s">
        <v>269</v>
      </c>
      <c r="B44" s="663"/>
      <c r="C44" s="663"/>
      <c r="D44" s="663"/>
      <c r="E44" s="663"/>
      <c r="F44" s="663"/>
      <c r="G44" s="664"/>
      <c r="H44" s="677">
        <f>ROUND(H20+H28+H33+H36+H39,2)</f>
        <v>450</v>
      </c>
      <c r="I44" s="678"/>
    </row>
    <row r="45" spans="1:12" ht="7.5" customHeight="1">
      <c r="A45" s="670"/>
      <c r="B45" s="671"/>
      <c r="C45" s="671"/>
      <c r="D45" s="671"/>
      <c r="E45" s="671"/>
      <c r="F45" s="671"/>
      <c r="G45" s="671"/>
      <c r="H45" s="671"/>
      <c r="I45" s="671"/>
      <c r="J45" s="5"/>
      <c r="K45" s="6"/>
      <c r="L45" s="7"/>
    </row>
    <row r="46" spans="1:12" ht="57" customHeight="1">
      <c r="A46" s="673" t="s">
        <v>401</v>
      </c>
      <c r="B46" s="674"/>
      <c r="C46" s="674"/>
      <c r="D46" s="674"/>
      <c r="E46" s="674"/>
      <c r="F46" s="674"/>
      <c r="G46" s="674"/>
      <c r="H46" s="674"/>
      <c r="I46" s="675"/>
      <c r="J46" s="5"/>
      <c r="K46" s="6"/>
      <c r="L46" s="7"/>
    </row>
    <row r="47" spans="1:12" ht="7.5" customHeight="1">
      <c r="A47" s="670"/>
      <c r="B47" s="474"/>
      <c r="C47" s="474"/>
      <c r="D47" s="474"/>
      <c r="E47" s="474"/>
      <c r="F47" s="474"/>
      <c r="G47" s="474"/>
      <c r="H47" s="474"/>
      <c r="I47" s="474"/>
      <c r="J47" s="5"/>
      <c r="K47" s="6"/>
      <c r="L47" s="7"/>
    </row>
    <row r="48" spans="1:12" ht="64.5" customHeight="1">
      <c r="A48" s="539" t="s">
        <v>410</v>
      </c>
      <c r="B48" s="672"/>
      <c r="C48" s="672"/>
      <c r="D48" s="672"/>
      <c r="E48" s="672"/>
      <c r="F48" s="672"/>
      <c r="G48" s="672"/>
      <c r="H48" s="672"/>
      <c r="I48" s="390"/>
      <c r="J48" s="5"/>
      <c r="K48" s="6"/>
      <c r="L48" s="7"/>
    </row>
    <row r="49" spans="1:256" ht="21.75" customHeight="1">
      <c r="A49" s="528" t="s">
        <v>161</v>
      </c>
      <c r="B49" s="529"/>
      <c r="C49" s="529"/>
      <c r="D49" s="529"/>
      <c r="E49" s="529"/>
      <c r="F49" s="529"/>
      <c r="G49" s="529"/>
      <c r="H49" s="529"/>
      <c r="I49" s="636"/>
      <c r="J49" s="504"/>
      <c r="K49" s="504"/>
      <c r="L49" s="504"/>
      <c r="M49" s="504"/>
      <c r="N49" s="504"/>
      <c r="O49" s="504"/>
      <c r="P49" s="504"/>
      <c r="Q49" s="504"/>
      <c r="R49" s="504"/>
      <c r="S49" s="504"/>
      <c r="T49" s="504"/>
      <c r="U49" s="504"/>
      <c r="V49" s="504"/>
      <c r="W49" s="504"/>
      <c r="X49" s="504"/>
      <c r="Y49" s="504"/>
      <c r="Z49" s="504"/>
      <c r="AA49" s="504"/>
      <c r="AB49" s="504"/>
      <c r="AC49" s="504"/>
      <c r="AD49" s="504"/>
      <c r="AE49" s="504"/>
      <c r="AF49" s="504"/>
      <c r="AG49" s="504"/>
      <c r="AH49" s="504"/>
      <c r="AI49" s="504"/>
      <c r="AJ49" s="504"/>
      <c r="AK49" s="504"/>
      <c r="AL49" s="504"/>
      <c r="AM49" s="504"/>
      <c r="AN49" s="504"/>
      <c r="AO49" s="504"/>
      <c r="AP49" s="504"/>
      <c r="AQ49" s="504"/>
      <c r="AR49" s="504"/>
      <c r="AS49" s="504"/>
      <c r="AT49" s="504"/>
      <c r="AU49" s="504"/>
      <c r="AV49" s="504"/>
      <c r="AW49" s="504"/>
      <c r="AX49" s="504"/>
      <c r="AY49" s="504"/>
      <c r="AZ49" s="504"/>
      <c r="BA49" s="504"/>
      <c r="BB49" s="504"/>
      <c r="BC49" s="504"/>
      <c r="BD49" s="504"/>
      <c r="BE49" s="504"/>
      <c r="BF49" s="504"/>
      <c r="BG49" s="504"/>
      <c r="BH49" s="504"/>
      <c r="BI49" s="504"/>
      <c r="BJ49" s="504"/>
      <c r="BK49" s="504"/>
      <c r="BL49" s="504"/>
      <c r="BM49" s="504"/>
      <c r="BN49" s="504"/>
      <c r="BO49" s="504"/>
      <c r="BP49" s="504"/>
      <c r="BQ49" s="504"/>
      <c r="BR49" s="504"/>
      <c r="BS49" s="504"/>
      <c r="BT49" s="504"/>
      <c r="BU49" s="504"/>
      <c r="BV49" s="504"/>
      <c r="BW49" s="504"/>
      <c r="BX49" s="504"/>
      <c r="BY49" s="504"/>
      <c r="BZ49" s="504"/>
      <c r="CA49" s="504"/>
      <c r="CB49" s="504"/>
      <c r="CC49" s="504"/>
      <c r="CD49" s="504"/>
      <c r="CE49" s="504"/>
      <c r="CF49" s="504"/>
      <c r="CG49" s="504"/>
      <c r="CH49" s="504"/>
      <c r="CI49" s="504"/>
      <c r="CJ49" s="504"/>
      <c r="CK49" s="504"/>
      <c r="CL49" s="504"/>
      <c r="CM49" s="504"/>
      <c r="CN49" s="504"/>
      <c r="CO49" s="504"/>
      <c r="CP49" s="504"/>
      <c r="CQ49" s="504"/>
      <c r="CR49" s="504"/>
      <c r="CS49" s="504"/>
      <c r="CT49" s="504"/>
      <c r="CU49" s="504"/>
      <c r="CV49" s="504"/>
      <c r="CW49" s="504"/>
      <c r="CX49" s="504"/>
      <c r="CY49" s="504"/>
      <c r="CZ49" s="504"/>
      <c r="DA49" s="504"/>
      <c r="DB49" s="504"/>
      <c r="DC49" s="504"/>
      <c r="DD49" s="504"/>
      <c r="DE49" s="504"/>
      <c r="DF49" s="504"/>
      <c r="DG49" s="504"/>
      <c r="DH49" s="504"/>
      <c r="DI49" s="504"/>
      <c r="DJ49" s="504"/>
      <c r="DK49" s="504"/>
      <c r="DL49" s="504"/>
      <c r="DM49" s="504"/>
      <c r="DN49" s="504"/>
      <c r="DO49" s="504"/>
      <c r="DP49" s="504"/>
      <c r="DQ49" s="504"/>
      <c r="DR49" s="504"/>
      <c r="DS49" s="504"/>
      <c r="DT49" s="504"/>
      <c r="DU49" s="504"/>
      <c r="DV49" s="504"/>
      <c r="DW49" s="504"/>
      <c r="DX49" s="504"/>
      <c r="DY49" s="504"/>
      <c r="DZ49" s="504"/>
      <c r="EA49" s="504"/>
      <c r="EB49" s="504"/>
      <c r="EC49" s="504"/>
      <c r="ED49" s="504"/>
      <c r="EE49" s="504"/>
      <c r="EF49" s="504"/>
      <c r="EG49" s="504"/>
      <c r="EH49" s="504"/>
      <c r="EI49" s="504"/>
      <c r="EJ49" s="504"/>
      <c r="EK49" s="504"/>
      <c r="EL49" s="504"/>
      <c r="EM49" s="504"/>
      <c r="EN49" s="504"/>
      <c r="EO49" s="504"/>
      <c r="EP49" s="504"/>
      <c r="EQ49" s="504"/>
      <c r="ER49" s="504"/>
      <c r="ES49" s="504"/>
      <c r="ET49" s="504"/>
      <c r="EU49" s="504"/>
      <c r="EV49" s="504"/>
      <c r="EW49" s="504"/>
      <c r="EX49" s="504"/>
      <c r="EY49" s="504"/>
      <c r="EZ49" s="504"/>
      <c r="FA49" s="504"/>
      <c r="FB49" s="504"/>
      <c r="FC49" s="504"/>
      <c r="FD49" s="504"/>
      <c r="FE49" s="504"/>
      <c r="FF49" s="504"/>
      <c r="FG49" s="504"/>
      <c r="FH49" s="504"/>
      <c r="FI49" s="504"/>
      <c r="FJ49" s="504"/>
      <c r="FK49" s="504"/>
      <c r="FL49" s="504"/>
      <c r="FM49" s="504"/>
      <c r="FN49" s="504"/>
      <c r="FO49" s="504"/>
      <c r="FP49" s="504"/>
      <c r="FQ49" s="504"/>
      <c r="FR49" s="504"/>
      <c r="FS49" s="504"/>
      <c r="FT49" s="504"/>
      <c r="FU49" s="504"/>
      <c r="FV49" s="504"/>
      <c r="FW49" s="504"/>
      <c r="FX49" s="504"/>
      <c r="FY49" s="504"/>
      <c r="FZ49" s="504"/>
      <c r="GA49" s="504"/>
      <c r="GB49" s="504"/>
      <c r="GC49" s="504"/>
      <c r="GD49" s="504"/>
      <c r="GE49" s="504"/>
      <c r="GF49" s="504"/>
      <c r="GG49" s="504"/>
      <c r="GH49" s="504"/>
      <c r="GI49" s="504"/>
      <c r="GJ49" s="504"/>
      <c r="GK49" s="504"/>
      <c r="GL49" s="504"/>
      <c r="GM49" s="504"/>
      <c r="GN49" s="504"/>
      <c r="GO49" s="504"/>
      <c r="GP49" s="504"/>
      <c r="GQ49" s="504"/>
      <c r="GR49" s="504"/>
      <c r="GS49" s="504"/>
      <c r="GT49" s="504"/>
      <c r="GU49" s="504"/>
      <c r="GV49" s="504"/>
      <c r="GW49" s="504"/>
      <c r="GX49" s="504"/>
      <c r="GY49" s="504"/>
      <c r="GZ49" s="504"/>
      <c r="HA49" s="504"/>
      <c r="HB49" s="504"/>
      <c r="HC49" s="504"/>
      <c r="HD49" s="504"/>
      <c r="HE49" s="504"/>
      <c r="HF49" s="504"/>
      <c r="HG49" s="504"/>
      <c r="HH49" s="504"/>
      <c r="HI49" s="504"/>
      <c r="HJ49" s="504"/>
      <c r="HK49" s="504"/>
      <c r="HL49" s="504"/>
      <c r="HM49" s="504"/>
      <c r="HN49" s="504"/>
      <c r="HO49" s="504"/>
      <c r="HP49" s="504"/>
      <c r="HQ49" s="504"/>
      <c r="HR49" s="504"/>
      <c r="HS49" s="504"/>
      <c r="HT49" s="504"/>
      <c r="HU49" s="504"/>
      <c r="HV49" s="504"/>
      <c r="HW49" s="504"/>
      <c r="HX49" s="504"/>
      <c r="HY49" s="504"/>
      <c r="HZ49" s="504"/>
      <c r="IA49" s="504"/>
      <c r="IB49" s="504"/>
      <c r="IC49" s="504"/>
      <c r="ID49" s="504"/>
      <c r="IE49" s="504"/>
      <c r="IF49" s="504"/>
      <c r="IG49" s="504"/>
      <c r="IH49" s="504"/>
      <c r="II49" s="504"/>
      <c r="IJ49" s="504"/>
      <c r="IK49" s="504"/>
      <c r="IL49" s="504"/>
      <c r="IM49" s="504"/>
      <c r="IN49" s="504"/>
      <c r="IO49" s="504"/>
      <c r="IP49" s="504"/>
      <c r="IQ49" s="504"/>
      <c r="IR49" s="504"/>
      <c r="IS49" s="504"/>
      <c r="IT49" s="504"/>
      <c r="IU49" s="504"/>
      <c r="IV49" s="504"/>
    </row>
    <row r="50" spans="1:256" ht="15.75" customHeight="1">
      <c r="A50" s="84">
        <v>1</v>
      </c>
      <c r="B50" s="507" t="s">
        <v>270</v>
      </c>
      <c r="C50" s="507"/>
      <c r="D50" s="507"/>
      <c r="E50" s="507"/>
      <c r="F50" s="507"/>
      <c r="G50" s="507"/>
      <c r="H50" s="505" t="s">
        <v>271</v>
      </c>
      <c r="I50" s="506"/>
    </row>
    <row r="51" spans="1:256" ht="15.75" customHeight="1">
      <c r="A51" s="84">
        <v>2</v>
      </c>
      <c r="B51" s="507" t="s">
        <v>413</v>
      </c>
      <c r="C51" s="507"/>
      <c r="D51" s="507"/>
      <c r="E51" s="507"/>
      <c r="F51" s="507"/>
      <c r="G51" s="507"/>
      <c r="H51" s="505">
        <v>829.4</v>
      </c>
      <c r="I51" s="669"/>
    </row>
    <row r="52" spans="1:256" ht="15.75" customHeight="1">
      <c r="A52" s="84">
        <v>3</v>
      </c>
      <c r="B52" s="507" t="s">
        <v>341</v>
      </c>
      <c r="C52" s="507"/>
      <c r="D52" s="507"/>
      <c r="E52" s="507"/>
      <c r="F52" s="507"/>
      <c r="G52" s="507"/>
      <c r="H52" s="621" t="s">
        <v>340</v>
      </c>
      <c r="I52" s="622"/>
    </row>
    <row r="53" spans="1:256" ht="15.75" customHeight="1">
      <c r="A53" s="84">
        <v>4</v>
      </c>
      <c r="B53" s="507" t="s">
        <v>125</v>
      </c>
      <c r="C53" s="507"/>
      <c r="D53" s="507"/>
      <c r="E53" s="507"/>
      <c r="F53" s="507"/>
      <c r="G53" s="507"/>
      <c r="H53" s="621" t="s">
        <v>43</v>
      </c>
      <c r="I53" s="622"/>
    </row>
    <row r="54" spans="1:256" ht="9" customHeight="1">
      <c r="A54" s="619"/>
      <c r="B54" s="620"/>
      <c r="C54" s="620"/>
      <c r="D54" s="620"/>
      <c r="E54" s="620"/>
      <c r="F54" s="620"/>
      <c r="G54" s="620"/>
      <c r="H54" s="620"/>
      <c r="I54" s="620"/>
    </row>
    <row r="55" spans="1:256" ht="14.25" customHeight="1">
      <c r="A55" s="666" t="s">
        <v>338</v>
      </c>
      <c r="B55" s="667"/>
      <c r="C55" s="667"/>
      <c r="D55" s="667"/>
      <c r="E55" s="667"/>
      <c r="F55" s="667"/>
      <c r="G55" s="667"/>
      <c r="H55" s="667"/>
      <c r="I55" s="710"/>
    </row>
    <row r="56" spans="1:256" ht="9" customHeight="1">
      <c r="A56" s="711"/>
      <c r="B56" s="712"/>
      <c r="C56" s="712"/>
      <c r="D56" s="712"/>
      <c r="E56" s="712"/>
      <c r="F56" s="712"/>
      <c r="G56" s="712"/>
      <c r="H56" s="712"/>
      <c r="I56" s="713"/>
    </row>
    <row r="57" spans="1:256" ht="36" customHeight="1">
      <c r="A57" s="618" t="s">
        <v>298</v>
      </c>
      <c r="B57" s="431"/>
      <c r="C57" s="431"/>
      <c r="D57" s="431"/>
      <c r="E57" s="431"/>
      <c r="F57" s="431"/>
      <c r="G57" s="431"/>
      <c r="H57" s="431"/>
      <c r="I57" s="340"/>
    </row>
    <row r="58" spans="1:256" s="8" customFormat="1" ht="29.25" customHeight="1">
      <c r="A58" s="60">
        <v>1</v>
      </c>
      <c r="B58" s="528" t="s">
        <v>355</v>
      </c>
      <c r="C58" s="529"/>
      <c r="D58" s="529"/>
      <c r="E58" s="529"/>
      <c r="F58" s="529"/>
      <c r="G58" s="626"/>
      <c r="H58" s="60" t="s">
        <v>385</v>
      </c>
      <c r="I58" s="60" t="s">
        <v>386</v>
      </c>
    </row>
    <row r="59" spans="1:256" ht="27.75" customHeight="1">
      <c r="A59" s="84" t="s">
        <v>259</v>
      </c>
      <c r="B59" s="532" t="s">
        <v>411</v>
      </c>
      <c r="C59" s="533"/>
      <c r="D59" s="533"/>
      <c r="E59" s="533"/>
      <c r="F59" s="533"/>
      <c r="G59" s="533"/>
      <c r="H59" s="624"/>
      <c r="I59" s="87">
        <f>ROUND(((40/6)*30)*(ROUND(H51/220,2)),2)</f>
        <v>754</v>
      </c>
    </row>
    <row r="60" spans="1:256" ht="15.75" customHeight="1">
      <c r="A60" s="84" t="s">
        <v>261</v>
      </c>
      <c r="B60" s="668" t="s">
        <v>435</v>
      </c>
      <c r="C60" s="534"/>
      <c r="D60" s="534"/>
      <c r="E60" s="534"/>
      <c r="F60" s="534"/>
      <c r="G60" s="623"/>
      <c r="H60" s="85"/>
      <c r="I60" s="87"/>
    </row>
    <row r="61" spans="1:256" ht="15.75" customHeight="1">
      <c r="A61" s="84" t="s">
        <v>263</v>
      </c>
      <c r="B61" s="645" t="s">
        <v>44</v>
      </c>
      <c r="C61" s="534"/>
      <c r="D61" s="534"/>
      <c r="E61" s="534"/>
      <c r="F61" s="534"/>
      <c r="G61" s="623"/>
      <c r="H61" s="86">
        <v>0.4</v>
      </c>
      <c r="I61" s="87">
        <f>ROUND(H61*I59,2)</f>
        <v>301.60000000000002</v>
      </c>
    </row>
    <row r="62" spans="1:256" ht="15.75" customHeight="1">
      <c r="A62" s="84" t="s">
        <v>264</v>
      </c>
      <c r="B62" s="532" t="s">
        <v>436</v>
      </c>
      <c r="C62" s="625"/>
      <c r="D62" s="625"/>
      <c r="E62" s="625"/>
      <c r="F62" s="625"/>
      <c r="G62" s="625"/>
      <c r="H62" s="624"/>
      <c r="I62" s="87"/>
    </row>
    <row r="63" spans="1:256" ht="15.75" customHeight="1">
      <c r="A63" s="84" t="s">
        <v>272</v>
      </c>
      <c r="B63" s="532" t="s">
        <v>437</v>
      </c>
      <c r="C63" s="625"/>
      <c r="D63" s="625"/>
      <c r="E63" s="625"/>
      <c r="F63" s="625"/>
      <c r="G63" s="625"/>
      <c r="H63" s="624"/>
      <c r="I63" s="87"/>
    </row>
    <row r="64" spans="1:256" ht="15.75" customHeight="1">
      <c r="A64" s="84" t="s">
        <v>273</v>
      </c>
      <c r="B64" s="532" t="s">
        <v>438</v>
      </c>
      <c r="C64" s="625"/>
      <c r="D64" s="625"/>
      <c r="E64" s="625"/>
      <c r="F64" s="625"/>
      <c r="G64" s="625"/>
      <c r="H64" s="624"/>
      <c r="I64" s="87"/>
    </row>
    <row r="65" spans="1:12" ht="15.75" customHeight="1">
      <c r="A65" s="84" t="s">
        <v>274</v>
      </c>
      <c r="B65" s="532" t="s">
        <v>356</v>
      </c>
      <c r="C65" s="625"/>
      <c r="D65" s="625"/>
      <c r="E65" s="625"/>
      <c r="F65" s="625"/>
      <c r="G65" s="625"/>
      <c r="H65" s="624"/>
      <c r="I65" s="87"/>
    </row>
    <row r="66" spans="1:12" ht="15.75" customHeight="1">
      <c r="A66" s="385" t="s">
        <v>330</v>
      </c>
      <c r="B66" s="534"/>
      <c r="C66" s="534"/>
      <c r="D66" s="534"/>
      <c r="E66" s="534"/>
      <c r="F66" s="534"/>
      <c r="G66" s="534"/>
      <c r="H66" s="623"/>
      <c r="I66" s="68">
        <f>SUM(I59:I65)</f>
        <v>1055.5999999999999</v>
      </c>
    </row>
    <row r="67" spans="1:12" ht="30" customHeight="1">
      <c r="A67" s="517" t="s">
        <v>276</v>
      </c>
      <c r="B67" s="518"/>
      <c r="C67" s="518"/>
      <c r="D67" s="518"/>
      <c r="E67" s="518"/>
      <c r="F67" s="518"/>
      <c r="G67" s="518"/>
      <c r="H67" s="518"/>
      <c r="I67" s="398"/>
    </row>
    <row r="68" spans="1:12" ht="18.75" customHeight="1">
      <c r="A68" s="75">
        <v>2</v>
      </c>
      <c r="B68" s="528" t="s">
        <v>357</v>
      </c>
      <c r="C68" s="529"/>
      <c r="D68" s="529"/>
      <c r="E68" s="529"/>
      <c r="F68" s="529"/>
      <c r="G68" s="529"/>
      <c r="H68" s="530"/>
      <c r="I68" s="53" t="s">
        <v>127</v>
      </c>
    </row>
    <row r="69" spans="1:12" ht="15.75" customHeight="1">
      <c r="A69" s="52" t="s">
        <v>259</v>
      </c>
      <c r="B69" s="507" t="s">
        <v>347</v>
      </c>
      <c r="C69" s="507"/>
      <c r="D69" s="507"/>
      <c r="E69" s="507"/>
      <c r="F69" s="507"/>
      <c r="G69" s="507"/>
      <c r="H69" s="531"/>
      <c r="I69" s="88">
        <f>IF(ROUND((21*H70*H71)-(I59*0.06),2)&lt;0,0,ROUND((21*H70*H71)-(I59*0.06),2))*1+(H70*H71*21.726-0.06*I59)*0</f>
        <v>91.26</v>
      </c>
      <c r="K69" s="1">
        <f>2*22*2.7</f>
        <v>118.80000000000001</v>
      </c>
    </row>
    <row r="70" spans="1:12" ht="22.5" customHeight="1">
      <c r="A70" s="52"/>
      <c r="B70" s="519" t="s">
        <v>334</v>
      </c>
      <c r="C70" s="520"/>
      <c r="D70" s="520"/>
      <c r="E70" s="520"/>
      <c r="F70" s="520"/>
      <c r="G70" s="520"/>
      <c r="H70" s="91">
        <v>3.25</v>
      </c>
      <c r="I70" s="89" t="s">
        <v>227</v>
      </c>
      <c r="K70" s="1">
        <f>0.06*572*(22/30)</f>
        <v>25.167999999999999</v>
      </c>
      <c r="L70" s="1">
        <f>K69-K70</f>
        <v>93.632000000000005</v>
      </c>
    </row>
    <row r="71" spans="1:12" ht="17.25" customHeight="1">
      <c r="A71" s="52"/>
      <c r="B71" s="521" t="s">
        <v>335</v>
      </c>
      <c r="C71" s="521"/>
      <c r="D71" s="521"/>
      <c r="E71" s="521"/>
      <c r="F71" s="521"/>
      <c r="G71" s="521"/>
      <c r="H71" s="114">
        <v>2</v>
      </c>
      <c r="I71" s="89"/>
    </row>
    <row r="72" spans="1:12" ht="15.75" customHeight="1">
      <c r="A72" s="52" t="s">
        <v>261</v>
      </c>
      <c r="B72" s="532" t="s">
        <v>46</v>
      </c>
      <c r="C72" s="533"/>
      <c r="D72" s="533"/>
      <c r="E72" s="533"/>
      <c r="F72" s="533"/>
      <c r="G72" s="533"/>
      <c r="H72" s="534"/>
      <c r="I72" s="88">
        <f>ROUND(21*H73*(1-0.175),2)*1+ROUND(21.726*6*(1-0.175),2)*0</f>
        <v>225.23</v>
      </c>
    </row>
    <row r="73" spans="1:12" ht="15.75" customHeight="1">
      <c r="A73" s="52"/>
      <c r="B73" s="519" t="s">
        <v>45</v>
      </c>
      <c r="C73" s="520"/>
      <c r="D73" s="520"/>
      <c r="E73" s="520"/>
      <c r="F73" s="520"/>
      <c r="G73" s="520"/>
      <c r="H73" s="91">
        <v>13</v>
      </c>
      <c r="I73" s="89" t="s">
        <v>227</v>
      </c>
      <c r="K73" s="1">
        <f>2.95*21*2</f>
        <v>123.9</v>
      </c>
    </row>
    <row r="74" spans="1:12" ht="15.75" customHeight="1">
      <c r="A74" s="52" t="s">
        <v>263</v>
      </c>
      <c r="B74" s="532" t="s">
        <v>277</v>
      </c>
      <c r="C74" s="533"/>
      <c r="D74" s="533"/>
      <c r="E74" s="533"/>
      <c r="F74" s="533"/>
      <c r="G74" s="533"/>
      <c r="H74" s="534"/>
      <c r="I74" s="88">
        <v>0</v>
      </c>
    </row>
    <row r="75" spans="1:12" ht="15.75" customHeight="1">
      <c r="A75" s="52" t="s">
        <v>264</v>
      </c>
      <c r="B75" s="652" t="s">
        <v>299</v>
      </c>
      <c r="C75" s="625"/>
      <c r="D75" s="625"/>
      <c r="E75" s="625"/>
      <c r="F75" s="625"/>
      <c r="G75" s="625"/>
      <c r="H75" s="534"/>
      <c r="I75" s="90">
        <v>0</v>
      </c>
    </row>
    <row r="76" spans="1:12" ht="25.5" customHeight="1">
      <c r="A76" s="52" t="s">
        <v>272</v>
      </c>
      <c r="B76" s="532" t="s">
        <v>47</v>
      </c>
      <c r="C76" s="653"/>
      <c r="D76" s="653"/>
      <c r="E76" s="653"/>
      <c r="F76" s="653"/>
      <c r="G76" s="653"/>
      <c r="H76" s="654"/>
      <c r="I76" s="88">
        <f>ROUND(0.001068*5000,2)</f>
        <v>5.34</v>
      </c>
      <c r="K76" s="1">
        <f>0.06*692</f>
        <v>41.519999999999996</v>
      </c>
    </row>
    <row r="77" spans="1:12" ht="30.75" customHeight="1">
      <c r="A77" s="52" t="s">
        <v>273</v>
      </c>
      <c r="B77" s="532" t="s">
        <v>461</v>
      </c>
      <c r="C77" s="533"/>
      <c r="D77" s="533"/>
      <c r="E77" s="533"/>
      <c r="F77" s="533"/>
      <c r="G77" s="533"/>
      <c r="H77" s="654"/>
      <c r="I77" s="90">
        <v>8.4600000000000009</v>
      </c>
      <c r="K77" s="1">
        <f>K73-K76</f>
        <v>82.38000000000001</v>
      </c>
    </row>
    <row r="78" spans="1:12" ht="15.75" customHeight="1">
      <c r="A78" s="52" t="s">
        <v>274</v>
      </c>
      <c r="B78" s="652" t="s">
        <v>408</v>
      </c>
      <c r="C78" s="625"/>
      <c r="D78" s="625"/>
      <c r="E78" s="625"/>
      <c r="F78" s="625"/>
      <c r="G78" s="625"/>
      <c r="H78" s="534"/>
      <c r="I78" s="125" t="s">
        <v>227</v>
      </c>
    </row>
    <row r="79" spans="1:12" ht="15.75" customHeight="1">
      <c r="A79" s="78"/>
      <c r="B79" s="525" t="s">
        <v>358</v>
      </c>
      <c r="C79" s="526"/>
      <c r="D79" s="526"/>
      <c r="E79" s="526"/>
      <c r="F79" s="526"/>
      <c r="G79" s="526"/>
      <c r="H79" s="527"/>
      <c r="I79" s="55">
        <f>SUM(I69:I77)</f>
        <v>330.28999999999996</v>
      </c>
    </row>
    <row r="80" spans="1:12" ht="7.5" customHeight="1">
      <c r="A80" s="647"/>
      <c r="B80" s="655"/>
      <c r="C80" s="655"/>
      <c r="D80" s="655"/>
      <c r="E80" s="655"/>
      <c r="F80" s="655"/>
      <c r="G80" s="655"/>
      <c r="H80" s="655"/>
      <c r="I80" s="656"/>
    </row>
    <row r="81" spans="1:9" ht="15.75" customHeight="1">
      <c r="A81" s="657" t="s">
        <v>300</v>
      </c>
      <c r="B81" s="653"/>
      <c r="C81" s="653"/>
      <c r="D81" s="653"/>
      <c r="E81" s="653"/>
      <c r="F81" s="653"/>
      <c r="G81" s="653"/>
      <c r="H81" s="653"/>
      <c r="I81" s="654"/>
    </row>
    <row r="82" spans="1:9" ht="7.5" customHeight="1">
      <c r="A82" s="659"/>
      <c r="B82" s="660"/>
      <c r="C82" s="660"/>
      <c r="D82" s="660"/>
      <c r="E82" s="660"/>
      <c r="F82" s="660"/>
      <c r="G82" s="660"/>
      <c r="H82" s="660"/>
      <c r="I82" s="661"/>
    </row>
    <row r="83" spans="1:9" ht="30" customHeight="1">
      <c r="A83" s="657" t="s">
        <v>278</v>
      </c>
      <c r="B83" s="658"/>
      <c r="C83" s="658"/>
      <c r="D83" s="658"/>
      <c r="E83" s="658"/>
      <c r="F83" s="658"/>
      <c r="G83" s="658"/>
      <c r="H83" s="658"/>
      <c r="I83" s="399"/>
    </row>
    <row r="84" spans="1:9" ht="15.75" customHeight="1">
      <c r="A84" s="75">
        <v>3</v>
      </c>
      <c r="B84" s="528" t="s">
        <v>359</v>
      </c>
      <c r="C84" s="529"/>
      <c r="D84" s="529"/>
      <c r="E84" s="529"/>
      <c r="F84" s="529"/>
      <c r="G84" s="529"/>
      <c r="H84" s="651"/>
      <c r="I84" s="75" t="s">
        <v>127</v>
      </c>
    </row>
    <row r="85" spans="1:9" ht="15.75" customHeight="1">
      <c r="A85" s="52" t="s">
        <v>259</v>
      </c>
      <c r="B85" s="532" t="s">
        <v>328</v>
      </c>
      <c r="C85" s="533"/>
      <c r="D85" s="533"/>
      <c r="E85" s="533"/>
      <c r="F85" s="533"/>
      <c r="G85" s="533"/>
      <c r="H85" s="629"/>
      <c r="I85" s="88">
        <v>30</v>
      </c>
    </row>
    <row r="86" spans="1:9" ht="15.75" customHeight="1">
      <c r="A86" s="52" t="s">
        <v>261</v>
      </c>
      <c r="B86" s="532" t="s">
        <v>322</v>
      </c>
      <c r="C86" s="533"/>
      <c r="D86" s="533"/>
      <c r="E86" s="533"/>
      <c r="F86" s="533"/>
      <c r="G86" s="533"/>
      <c r="H86" s="629"/>
      <c r="I86" s="90">
        <v>210</v>
      </c>
    </row>
    <row r="87" spans="1:9" ht="15.75" customHeight="1">
      <c r="A87" s="52" t="s">
        <v>263</v>
      </c>
      <c r="B87" s="652" t="s">
        <v>323</v>
      </c>
      <c r="C87" s="625"/>
      <c r="D87" s="625"/>
      <c r="E87" s="625"/>
      <c r="F87" s="625"/>
      <c r="G87" s="625"/>
      <c r="H87" s="624"/>
      <c r="I87" s="90">
        <v>38</v>
      </c>
    </row>
    <row r="88" spans="1:9" ht="15.75" customHeight="1">
      <c r="A88" s="52" t="s">
        <v>264</v>
      </c>
      <c r="B88" s="532" t="s">
        <v>226</v>
      </c>
      <c r="C88" s="533"/>
      <c r="D88" s="533"/>
      <c r="E88" s="533"/>
      <c r="F88" s="533"/>
      <c r="G88" s="533"/>
      <c r="H88" s="629"/>
      <c r="I88" s="90" t="s">
        <v>285</v>
      </c>
    </row>
    <row r="89" spans="1:9" ht="15.75" customHeight="1">
      <c r="A89" s="525" t="s">
        <v>360</v>
      </c>
      <c r="B89" s="637"/>
      <c r="C89" s="637"/>
      <c r="D89" s="637"/>
      <c r="E89" s="637"/>
      <c r="F89" s="637"/>
      <c r="G89" s="637"/>
      <c r="H89" s="638"/>
      <c r="I89" s="54">
        <f>ROUND(SUM(I85:I88),2)</f>
        <v>278</v>
      </c>
    </row>
    <row r="90" spans="1:9" ht="8.25" customHeight="1">
      <c r="A90" s="641"/>
      <c r="B90" s="642"/>
      <c r="C90" s="642"/>
      <c r="D90" s="642"/>
      <c r="E90" s="642"/>
      <c r="F90" s="642"/>
      <c r="G90" s="642"/>
      <c r="H90" s="642"/>
      <c r="I90" s="643"/>
    </row>
    <row r="91" spans="1:9" ht="15.75" customHeight="1">
      <c r="A91" s="666" t="s">
        <v>339</v>
      </c>
      <c r="B91" s="667"/>
      <c r="C91" s="667"/>
      <c r="D91" s="667"/>
      <c r="E91" s="667"/>
      <c r="F91" s="667"/>
      <c r="G91" s="667"/>
      <c r="H91" s="667"/>
      <c r="I91" s="710"/>
    </row>
    <row r="92" spans="1:9" ht="8.25" customHeight="1">
      <c r="A92" s="63"/>
      <c r="B92" s="61"/>
      <c r="C92" s="61"/>
      <c r="D92" s="61"/>
      <c r="E92" s="61"/>
      <c r="F92" s="61"/>
      <c r="G92" s="61"/>
      <c r="H92" s="61"/>
      <c r="I92" s="62"/>
    </row>
    <row r="93" spans="1:9" s="4" customFormat="1" ht="32.25" customHeight="1">
      <c r="A93" s="618" t="s">
        <v>361</v>
      </c>
      <c r="B93" s="431"/>
      <c r="C93" s="431"/>
      <c r="D93" s="431"/>
      <c r="E93" s="431"/>
      <c r="F93" s="431"/>
      <c r="G93" s="431"/>
      <c r="H93" s="431"/>
      <c r="I93" s="340"/>
    </row>
    <row r="94" spans="1:9" s="4" customFormat="1" ht="30" customHeight="1">
      <c r="A94" s="76" t="s">
        <v>279</v>
      </c>
      <c r="B94" s="528" t="s">
        <v>362</v>
      </c>
      <c r="C94" s="529"/>
      <c r="D94" s="529"/>
      <c r="E94" s="529"/>
      <c r="F94" s="529"/>
      <c r="G94" s="626"/>
      <c r="H94" s="53" t="s">
        <v>363</v>
      </c>
      <c r="I94" s="53" t="s">
        <v>364</v>
      </c>
    </row>
    <row r="95" spans="1:9" s="4" customFormat="1" ht="15.75" customHeight="1">
      <c r="A95" s="83" t="s">
        <v>259</v>
      </c>
      <c r="B95" s="545" t="s">
        <v>128</v>
      </c>
      <c r="C95" s="546"/>
      <c r="D95" s="546"/>
      <c r="E95" s="546"/>
      <c r="F95" s="546"/>
      <c r="G95" s="547"/>
      <c r="H95" s="92">
        <v>0.2</v>
      </c>
      <c r="I95" s="51">
        <f t="shared" ref="I95:I102" si="0">ROUND($I$66*H95,2)</f>
        <v>211.12</v>
      </c>
    </row>
    <row r="96" spans="1:9" s="4" customFormat="1" ht="15.75" customHeight="1">
      <c r="A96" s="83" t="s">
        <v>261</v>
      </c>
      <c r="B96" s="545" t="s">
        <v>129</v>
      </c>
      <c r="C96" s="546"/>
      <c r="D96" s="546"/>
      <c r="E96" s="546"/>
      <c r="F96" s="546"/>
      <c r="G96" s="547"/>
      <c r="H96" s="92">
        <v>1.4999999999999999E-2</v>
      </c>
      <c r="I96" s="51">
        <f t="shared" si="0"/>
        <v>15.83</v>
      </c>
    </row>
    <row r="97" spans="1:9" s="4" customFormat="1" ht="15.75" customHeight="1">
      <c r="A97" s="83" t="s">
        <v>263</v>
      </c>
      <c r="B97" s="545" t="s">
        <v>130</v>
      </c>
      <c r="C97" s="546"/>
      <c r="D97" s="546"/>
      <c r="E97" s="546"/>
      <c r="F97" s="546"/>
      <c r="G97" s="547"/>
      <c r="H97" s="92">
        <v>0.01</v>
      </c>
      <c r="I97" s="51">
        <f t="shared" si="0"/>
        <v>10.56</v>
      </c>
    </row>
    <row r="98" spans="1:9" s="4" customFormat="1" ht="15.75" customHeight="1">
      <c r="A98" s="83" t="s">
        <v>264</v>
      </c>
      <c r="B98" s="545" t="s">
        <v>131</v>
      </c>
      <c r="C98" s="546"/>
      <c r="D98" s="546"/>
      <c r="E98" s="546"/>
      <c r="F98" s="546"/>
      <c r="G98" s="547"/>
      <c r="H98" s="92">
        <v>2E-3</v>
      </c>
      <c r="I98" s="51">
        <f t="shared" si="0"/>
        <v>2.11</v>
      </c>
    </row>
    <row r="99" spans="1:9" ht="15.75" customHeight="1">
      <c r="A99" s="83" t="s">
        <v>272</v>
      </c>
      <c r="B99" s="532" t="s">
        <v>301</v>
      </c>
      <c r="C99" s="533"/>
      <c r="D99" s="533"/>
      <c r="E99" s="533"/>
      <c r="F99" s="533"/>
      <c r="G99" s="629"/>
      <c r="H99" s="57">
        <v>2.5000000000000001E-2</v>
      </c>
      <c r="I99" s="51">
        <f t="shared" si="0"/>
        <v>26.39</v>
      </c>
    </row>
    <row r="100" spans="1:9" ht="15.75" customHeight="1">
      <c r="A100" s="83" t="s">
        <v>273</v>
      </c>
      <c r="B100" s="532" t="s">
        <v>132</v>
      </c>
      <c r="C100" s="533"/>
      <c r="D100" s="533"/>
      <c r="E100" s="533"/>
      <c r="F100" s="533"/>
      <c r="G100" s="629"/>
      <c r="H100" s="57">
        <v>0.08</v>
      </c>
      <c r="I100" s="51">
        <f t="shared" si="0"/>
        <v>84.45</v>
      </c>
    </row>
    <row r="101" spans="1:9" ht="55.5" customHeight="1">
      <c r="A101" s="83" t="s">
        <v>274</v>
      </c>
      <c r="B101" s="507" t="s">
        <v>343</v>
      </c>
      <c r="C101" s="727"/>
      <c r="D101" s="111" t="s">
        <v>342</v>
      </c>
      <c r="E101" s="112">
        <v>0.03</v>
      </c>
      <c r="F101" s="111" t="s">
        <v>344</v>
      </c>
      <c r="G101" s="113">
        <v>1</v>
      </c>
      <c r="H101" s="109">
        <f>ROUND((E101*G101),6)</f>
        <v>0.03</v>
      </c>
      <c r="I101" s="51">
        <f t="shared" si="0"/>
        <v>31.67</v>
      </c>
    </row>
    <row r="102" spans="1:9" ht="15.75" customHeight="1">
      <c r="A102" s="83" t="s">
        <v>275</v>
      </c>
      <c r="B102" s="532" t="s">
        <v>133</v>
      </c>
      <c r="C102" s="533"/>
      <c r="D102" s="533"/>
      <c r="E102" s="533"/>
      <c r="F102" s="533"/>
      <c r="G102" s="629"/>
      <c r="H102" s="57">
        <v>6.0000000000000001E-3</v>
      </c>
      <c r="I102" s="51">
        <f t="shared" si="0"/>
        <v>6.33</v>
      </c>
    </row>
    <row r="103" spans="1:9" ht="15.75" customHeight="1">
      <c r="A103" s="525" t="s">
        <v>134</v>
      </c>
      <c r="B103" s="536"/>
      <c r="C103" s="536"/>
      <c r="D103" s="536"/>
      <c r="E103" s="536"/>
      <c r="F103" s="536"/>
      <c r="G103" s="537"/>
      <c r="H103" s="110">
        <f>SUM(H95:H102)</f>
        <v>0.3680000000000001</v>
      </c>
      <c r="I103" s="55">
        <f>SUM(I95:I102)</f>
        <v>388.46000000000004</v>
      </c>
    </row>
    <row r="104" spans="1:9" ht="8.25" customHeight="1">
      <c r="A104" s="64"/>
      <c r="B104" s="65"/>
      <c r="C104" s="65"/>
      <c r="D104" s="65"/>
      <c r="E104" s="65"/>
      <c r="F104" s="65"/>
      <c r="G104" s="65"/>
      <c r="H104" s="66"/>
      <c r="I104" s="67"/>
    </row>
    <row r="105" spans="1:9" ht="38.25" customHeight="1">
      <c r="A105" s="644" t="s">
        <v>387</v>
      </c>
      <c r="B105" s="645"/>
      <c r="C105" s="645"/>
      <c r="D105" s="645"/>
      <c r="E105" s="645"/>
      <c r="F105" s="645"/>
      <c r="G105" s="645"/>
      <c r="H105" s="645"/>
      <c r="I105" s="646"/>
    </row>
    <row r="106" spans="1:9" ht="7.5" customHeight="1">
      <c r="A106" s="647"/>
      <c r="B106" s="642"/>
      <c r="C106" s="642"/>
      <c r="D106" s="642"/>
      <c r="E106" s="642"/>
      <c r="F106" s="642"/>
      <c r="G106" s="642"/>
      <c r="H106" s="642"/>
      <c r="I106" s="643"/>
    </row>
    <row r="107" spans="1:9" ht="18" customHeight="1">
      <c r="A107" s="539" t="s">
        <v>365</v>
      </c>
      <c r="B107" s="639"/>
      <c r="C107" s="639"/>
      <c r="D107" s="639"/>
      <c r="E107" s="639"/>
      <c r="F107" s="639"/>
      <c r="G107" s="639"/>
      <c r="H107" s="639"/>
      <c r="I107" s="640"/>
    </row>
    <row r="108" spans="1:9" ht="15.75" customHeight="1">
      <c r="A108" s="75" t="s">
        <v>280</v>
      </c>
      <c r="B108" s="528" t="s">
        <v>367</v>
      </c>
      <c r="C108" s="529"/>
      <c r="D108" s="529"/>
      <c r="E108" s="529"/>
      <c r="F108" s="529"/>
      <c r="G108" s="529"/>
      <c r="H108" s="636"/>
      <c r="I108" s="75" t="s">
        <v>127</v>
      </c>
    </row>
    <row r="109" spans="1:9" ht="15.75" customHeight="1">
      <c r="A109" s="52" t="s">
        <v>259</v>
      </c>
      <c r="B109" s="545" t="s">
        <v>366</v>
      </c>
      <c r="C109" s="546"/>
      <c r="D109" s="546"/>
      <c r="E109" s="546"/>
      <c r="F109" s="546"/>
      <c r="G109" s="546"/>
      <c r="H109" s="629"/>
      <c r="I109" s="51">
        <f>ROUND($I$66/12,2)</f>
        <v>87.97</v>
      </c>
    </row>
    <row r="110" spans="1:9" ht="15.75" customHeight="1">
      <c r="A110" s="525" t="s">
        <v>281</v>
      </c>
      <c r="B110" s="526"/>
      <c r="C110" s="526"/>
      <c r="D110" s="526"/>
      <c r="E110" s="526"/>
      <c r="F110" s="526"/>
      <c r="G110" s="526"/>
      <c r="H110" s="511"/>
      <c r="I110" s="108">
        <f>SUM(I109:I109)</f>
        <v>87.97</v>
      </c>
    </row>
    <row r="111" spans="1:9" ht="21" customHeight="1">
      <c r="A111" s="52" t="s">
        <v>261</v>
      </c>
      <c r="B111" s="633" t="s">
        <v>429</v>
      </c>
      <c r="C111" s="634"/>
      <c r="D111" s="634"/>
      <c r="E111" s="634"/>
      <c r="F111" s="634"/>
      <c r="G111" s="634"/>
      <c r="H111" s="635"/>
      <c r="I111" s="93">
        <f>ROUND(H103*I110,2)</f>
        <v>32.369999999999997</v>
      </c>
    </row>
    <row r="112" spans="1:9" ht="15.75" customHeight="1">
      <c r="A112" s="548" t="s">
        <v>134</v>
      </c>
      <c r="B112" s="549"/>
      <c r="C112" s="549"/>
      <c r="D112" s="549"/>
      <c r="E112" s="549"/>
      <c r="F112" s="549"/>
      <c r="G112" s="549"/>
      <c r="H112" s="649"/>
      <c r="I112" s="56">
        <f>SUM(I110:I111)</f>
        <v>120.34</v>
      </c>
    </row>
    <row r="113" spans="1:11" ht="10.5" customHeight="1">
      <c r="A113" s="659"/>
      <c r="B113" s="691"/>
      <c r="C113" s="691"/>
      <c r="D113" s="691"/>
      <c r="E113" s="691"/>
      <c r="F113" s="691"/>
      <c r="G113" s="691"/>
      <c r="H113" s="691"/>
      <c r="I113" s="692"/>
    </row>
    <row r="114" spans="1:11" ht="24.75" customHeight="1">
      <c r="A114" s="539" t="s">
        <v>368</v>
      </c>
      <c r="B114" s="540"/>
      <c r="C114" s="540"/>
      <c r="D114" s="540"/>
      <c r="E114" s="540"/>
      <c r="F114" s="540"/>
      <c r="G114" s="540"/>
      <c r="H114" s="540"/>
      <c r="I114" s="541"/>
      <c r="K114" s="1">
        <f>1/12</f>
        <v>8.3333333333333329E-2</v>
      </c>
    </row>
    <row r="115" spans="1:11" ht="15.75" customHeight="1">
      <c r="A115" s="75" t="s">
        <v>282</v>
      </c>
      <c r="B115" s="542" t="s">
        <v>287</v>
      </c>
      <c r="C115" s="543"/>
      <c r="D115" s="543"/>
      <c r="E115" s="543"/>
      <c r="F115" s="543"/>
      <c r="G115" s="543"/>
      <c r="H115" s="544"/>
      <c r="I115" s="75" t="s">
        <v>127</v>
      </c>
    </row>
    <row r="116" spans="1:11" ht="15.75" customHeight="1">
      <c r="A116" s="52" t="s">
        <v>259</v>
      </c>
      <c r="B116" s="532" t="s">
        <v>337</v>
      </c>
      <c r="C116" s="533"/>
      <c r="D116" s="533"/>
      <c r="E116" s="533"/>
      <c r="F116" s="533"/>
      <c r="G116" s="533"/>
      <c r="H116" s="629"/>
      <c r="I116" s="51">
        <f>ROUND(((($I$66+$I$66/3)*4/12)/12)*0.02,2)</f>
        <v>0.78</v>
      </c>
    </row>
    <row r="117" spans="1:11" ht="15.75" customHeight="1">
      <c r="A117" s="52" t="s">
        <v>261</v>
      </c>
      <c r="B117" s="532" t="s">
        <v>424</v>
      </c>
      <c r="C117" s="533"/>
      <c r="D117" s="533"/>
      <c r="E117" s="533"/>
      <c r="F117" s="533"/>
      <c r="G117" s="533"/>
      <c r="H117" s="629"/>
      <c r="I117" s="51">
        <f>ROUND(H103*I116,2)</f>
        <v>0.28999999999999998</v>
      </c>
    </row>
    <row r="118" spans="1:11" ht="15.75" customHeight="1">
      <c r="A118" s="525" t="s">
        <v>134</v>
      </c>
      <c r="B118" s="650"/>
      <c r="C118" s="650"/>
      <c r="D118" s="650"/>
      <c r="E118" s="650"/>
      <c r="F118" s="650"/>
      <c r="G118" s="650"/>
      <c r="H118" s="388"/>
      <c r="I118" s="55">
        <f>SUM(I116:I117)</f>
        <v>1.07</v>
      </c>
    </row>
    <row r="119" spans="1:11" s="4" customFormat="1" ht="26.25" customHeight="1">
      <c r="A119" s="630" t="s">
        <v>369</v>
      </c>
      <c r="B119" s="631"/>
      <c r="C119" s="631"/>
      <c r="D119" s="631"/>
      <c r="E119" s="631"/>
      <c r="F119" s="631"/>
      <c r="G119" s="631"/>
      <c r="H119" s="631"/>
      <c r="I119" s="632"/>
    </row>
    <row r="120" spans="1:11" s="4" customFormat="1" ht="15.75" customHeight="1">
      <c r="A120" s="75" t="s">
        <v>283</v>
      </c>
      <c r="B120" s="542" t="s">
        <v>370</v>
      </c>
      <c r="C120" s="543"/>
      <c r="D120" s="543"/>
      <c r="E120" s="543"/>
      <c r="F120" s="543"/>
      <c r="G120" s="543"/>
      <c r="H120" s="544"/>
      <c r="I120" s="75" t="s">
        <v>127</v>
      </c>
    </row>
    <row r="121" spans="1:11" s="4" customFormat="1" ht="45" customHeight="1">
      <c r="A121" s="52" t="s">
        <v>259</v>
      </c>
      <c r="B121" s="545" t="s">
        <v>38</v>
      </c>
      <c r="C121" s="546"/>
      <c r="D121" s="546"/>
      <c r="E121" s="546"/>
      <c r="F121" s="546"/>
      <c r="G121" s="546"/>
      <c r="H121" s="547"/>
      <c r="I121" s="51">
        <f>ROUND((($I$66/12)+($I$109/12)+($I$130/12))*(30/30)*0.05,2)</f>
        <v>5.25</v>
      </c>
    </row>
    <row r="122" spans="1:11" s="4" customFormat="1" ht="15.75" customHeight="1">
      <c r="A122" s="52" t="s">
        <v>261</v>
      </c>
      <c r="B122" s="538" t="s">
        <v>371</v>
      </c>
      <c r="C122" s="538"/>
      <c r="D122" s="538"/>
      <c r="E122" s="538"/>
      <c r="F122" s="538"/>
      <c r="G122" s="538"/>
      <c r="H122" s="538"/>
      <c r="I122" s="51">
        <f>ROUND($H$100*I121,2)</f>
        <v>0.42</v>
      </c>
    </row>
    <row r="123" spans="1:11" s="4" customFormat="1" ht="24.75" customHeight="1">
      <c r="A123" s="52" t="s">
        <v>263</v>
      </c>
      <c r="B123" s="545" t="s">
        <v>456</v>
      </c>
      <c r="C123" s="546"/>
      <c r="D123" s="546"/>
      <c r="E123" s="546"/>
      <c r="F123" s="546"/>
      <c r="G123" s="546"/>
      <c r="H123" s="547"/>
      <c r="I123" s="51">
        <f>ROUND(0.08*0.5*($I$66+$I$109+$I$130)*0.05,2)</f>
        <v>2.52</v>
      </c>
    </row>
    <row r="124" spans="1:11" s="4" customFormat="1" ht="29.25" customHeight="1">
      <c r="A124" s="52" t="s">
        <v>264</v>
      </c>
      <c r="B124" s="648" t="s">
        <v>27</v>
      </c>
      <c r="C124" s="538"/>
      <c r="D124" s="538"/>
      <c r="E124" s="538"/>
      <c r="F124" s="538"/>
      <c r="G124" s="538"/>
      <c r="H124" s="538"/>
      <c r="I124" s="51">
        <f>ROUND(((($I$66/30)*7)/$H$11)*0.9,2)</f>
        <v>18.47</v>
      </c>
    </row>
    <row r="125" spans="1:11" s="4" customFormat="1" ht="15.75" customHeight="1">
      <c r="A125" s="52" t="s">
        <v>272</v>
      </c>
      <c r="B125" s="538" t="s">
        <v>423</v>
      </c>
      <c r="C125" s="538"/>
      <c r="D125" s="538"/>
      <c r="E125" s="538"/>
      <c r="F125" s="538"/>
      <c r="G125" s="538"/>
      <c r="H125" s="538"/>
      <c r="I125" s="51">
        <f>ROUND($H$103*I124,2)</f>
        <v>6.8</v>
      </c>
    </row>
    <row r="126" spans="1:11" s="4" customFormat="1" ht="24.75" customHeight="1">
      <c r="A126" s="52" t="s">
        <v>273</v>
      </c>
      <c r="B126" s="545" t="s">
        <v>457</v>
      </c>
      <c r="C126" s="546"/>
      <c r="D126" s="546"/>
      <c r="E126" s="546"/>
      <c r="F126" s="546"/>
      <c r="G126" s="546"/>
      <c r="H126" s="547"/>
      <c r="I126" s="51">
        <f>ROUND(0.08*0.5*($I$66+$I$109+$I$130)*0.9,2)</f>
        <v>45.39</v>
      </c>
    </row>
    <row r="127" spans="1:11" s="4" customFormat="1" ht="15.75" customHeight="1">
      <c r="A127" s="548" t="s">
        <v>134</v>
      </c>
      <c r="B127" s="549"/>
      <c r="C127" s="549"/>
      <c r="D127" s="549"/>
      <c r="E127" s="549"/>
      <c r="F127" s="549"/>
      <c r="G127" s="549"/>
      <c r="H127" s="549"/>
      <c r="I127" s="55">
        <f>SUM(I121:I126)</f>
        <v>78.849999999999994</v>
      </c>
    </row>
    <row r="128" spans="1:11" ht="24" customHeight="1">
      <c r="A128" s="539" t="s">
        <v>349</v>
      </c>
      <c r="B128" s="540"/>
      <c r="C128" s="540"/>
      <c r="D128" s="540"/>
      <c r="E128" s="540"/>
      <c r="F128" s="540"/>
      <c r="G128" s="540"/>
      <c r="H128" s="540"/>
      <c r="I128" s="541"/>
    </row>
    <row r="129" spans="1:11" ht="15.75" customHeight="1">
      <c r="A129" s="77" t="s">
        <v>284</v>
      </c>
      <c r="B129" s="542" t="s">
        <v>350</v>
      </c>
      <c r="C129" s="543"/>
      <c r="D129" s="543"/>
      <c r="E129" s="543"/>
      <c r="F129" s="543"/>
      <c r="G129" s="543"/>
      <c r="H129" s="544"/>
      <c r="I129" s="77" t="s">
        <v>127</v>
      </c>
    </row>
    <row r="130" spans="1:11" ht="15.75" customHeight="1">
      <c r="A130" s="94" t="s">
        <v>259</v>
      </c>
      <c r="B130" s="538" t="s">
        <v>351</v>
      </c>
      <c r="C130" s="538"/>
      <c r="D130" s="538"/>
      <c r="E130" s="538"/>
      <c r="F130" s="538"/>
      <c r="G130" s="538"/>
      <c r="H130" s="538"/>
      <c r="I130" s="51">
        <f>ROUND($I$66/12,2)+ROUND(($I$66/3)/12,2)</f>
        <v>117.28999999999999</v>
      </c>
    </row>
    <row r="131" spans="1:11" ht="15.75" customHeight="1">
      <c r="A131" s="94" t="s">
        <v>261</v>
      </c>
      <c r="B131" s="538" t="s">
        <v>348</v>
      </c>
      <c r="C131" s="538"/>
      <c r="D131" s="538"/>
      <c r="E131" s="538"/>
      <c r="F131" s="538"/>
      <c r="G131" s="538"/>
      <c r="H131" s="538"/>
      <c r="I131" s="95">
        <f>ROUND(((($I$66/30)*5)/12),2)</f>
        <v>14.66</v>
      </c>
    </row>
    <row r="132" spans="1:11" ht="15.75" customHeight="1">
      <c r="A132" s="94" t="s">
        <v>263</v>
      </c>
      <c r="B132" s="538" t="s">
        <v>346</v>
      </c>
      <c r="C132" s="538"/>
      <c r="D132" s="538"/>
      <c r="E132" s="538"/>
      <c r="F132" s="538"/>
      <c r="G132" s="538"/>
      <c r="H132" s="538"/>
      <c r="I132" s="95">
        <f>ROUND((($I$66/30)*5)/12*0.015,2)</f>
        <v>0.22</v>
      </c>
    </row>
    <row r="133" spans="1:11" ht="15.75" customHeight="1">
      <c r="A133" s="94" t="s">
        <v>264</v>
      </c>
      <c r="B133" s="538" t="s">
        <v>345</v>
      </c>
      <c r="C133" s="538"/>
      <c r="D133" s="538"/>
      <c r="E133" s="538"/>
      <c r="F133" s="538"/>
      <c r="G133" s="538"/>
      <c r="H133" s="538"/>
      <c r="I133" s="95">
        <f>ROUND((($I$66/30)*2.96)/12,2)</f>
        <v>8.68</v>
      </c>
    </row>
    <row r="134" spans="1:11" ht="15.75" customHeight="1">
      <c r="A134" s="94" t="s">
        <v>272</v>
      </c>
      <c r="B134" s="538" t="s">
        <v>112</v>
      </c>
      <c r="C134" s="538"/>
      <c r="D134" s="538"/>
      <c r="E134" s="538"/>
      <c r="F134" s="538"/>
      <c r="G134" s="538"/>
      <c r="H134" s="538"/>
      <c r="I134" s="96">
        <f>ROUND(((($I$66/30)*15)/12)*0.0078,2)</f>
        <v>0.34</v>
      </c>
    </row>
    <row r="135" spans="1:11" ht="15.75" customHeight="1">
      <c r="A135" s="94" t="s">
        <v>273</v>
      </c>
      <c r="B135" s="538" t="s">
        <v>126</v>
      </c>
      <c r="C135" s="538"/>
      <c r="D135" s="538"/>
      <c r="E135" s="538"/>
      <c r="F135" s="538"/>
      <c r="G135" s="538"/>
      <c r="H135" s="538"/>
      <c r="I135" s="96">
        <v>0</v>
      </c>
    </row>
    <row r="136" spans="1:11" ht="15.75" customHeight="1">
      <c r="A136" s="548" t="s">
        <v>281</v>
      </c>
      <c r="B136" s="548"/>
      <c r="C136" s="548"/>
      <c r="D136" s="548"/>
      <c r="E136" s="548"/>
      <c r="F136" s="548"/>
      <c r="G136" s="548"/>
      <c r="H136" s="548"/>
      <c r="I136" s="58">
        <f>SUM(I130:I135)</f>
        <v>141.19</v>
      </c>
    </row>
    <row r="137" spans="1:11" ht="18" customHeight="1">
      <c r="A137" s="94" t="s">
        <v>274</v>
      </c>
      <c r="B137" s="519" t="s">
        <v>425</v>
      </c>
      <c r="C137" s="520"/>
      <c r="D137" s="520"/>
      <c r="E137" s="520"/>
      <c r="F137" s="520"/>
      <c r="G137" s="520"/>
      <c r="H137" s="742"/>
      <c r="I137" s="96">
        <f>ROUND(H103*I136,2)</f>
        <v>51.96</v>
      </c>
    </row>
    <row r="138" spans="1:11" ht="15.75" customHeight="1">
      <c r="A138" s="548" t="s">
        <v>134</v>
      </c>
      <c r="B138" s="548"/>
      <c r="C138" s="548"/>
      <c r="D138" s="548"/>
      <c r="E138" s="548"/>
      <c r="F138" s="548"/>
      <c r="G138" s="548"/>
      <c r="H138" s="548"/>
      <c r="I138" s="55">
        <f>SUM(I136:I137)</f>
        <v>193.15</v>
      </c>
    </row>
    <row r="139" spans="1:11" ht="28.5" customHeight="1">
      <c r="A139" s="630" t="s">
        <v>373</v>
      </c>
      <c r="B139" s="631"/>
      <c r="C139" s="631"/>
      <c r="D139" s="631"/>
      <c r="E139" s="631"/>
      <c r="F139" s="631"/>
      <c r="G139" s="631"/>
      <c r="H139" s="631"/>
      <c r="I139" s="632"/>
    </row>
    <row r="140" spans="1:11" ht="15.75" customHeight="1">
      <c r="A140" s="75">
        <v>4</v>
      </c>
      <c r="B140" s="528" t="s">
        <v>372</v>
      </c>
      <c r="C140" s="529"/>
      <c r="D140" s="529"/>
      <c r="E140" s="529"/>
      <c r="F140" s="529"/>
      <c r="G140" s="529"/>
      <c r="H140" s="626"/>
      <c r="I140" s="75" t="s">
        <v>127</v>
      </c>
    </row>
    <row r="141" spans="1:11" ht="15.75" customHeight="1">
      <c r="A141" s="52" t="s">
        <v>279</v>
      </c>
      <c r="B141" s="507" t="s">
        <v>362</v>
      </c>
      <c r="C141" s="507"/>
      <c r="D141" s="507"/>
      <c r="E141" s="507"/>
      <c r="F141" s="507"/>
      <c r="G141" s="507"/>
      <c r="H141" s="507"/>
      <c r="I141" s="88">
        <f>I103</f>
        <v>388.46000000000004</v>
      </c>
    </row>
    <row r="142" spans="1:11" ht="15.75" customHeight="1">
      <c r="A142" s="52" t="s">
        <v>280</v>
      </c>
      <c r="B142" s="507" t="s">
        <v>367</v>
      </c>
      <c r="C142" s="507"/>
      <c r="D142" s="507"/>
      <c r="E142" s="507"/>
      <c r="F142" s="507"/>
      <c r="G142" s="507"/>
      <c r="H142" s="507"/>
      <c r="I142" s="88">
        <f>I112</f>
        <v>120.34</v>
      </c>
    </row>
    <row r="143" spans="1:11" ht="15.75" customHeight="1">
      <c r="A143" s="52" t="s">
        <v>282</v>
      </c>
      <c r="B143" s="507" t="s">
        <v>287</v>
      </c>
      <c r="C143" s="507"/>
      <c r="D143" s="507"/>
      <c r="E143" s="507"/>
      <c r="F143" s="507"/>
      <c r="G143" s="507"/>
      <c r="H143" s="507"/>
      <c r="I143" s="88">
        <f>I118</f>
        <v>1.07</v>
      </c>
    </row>
    <row r="144" spans="1:11" ht="15.75" customHeight="1">
      <c r="A144" s="52" t="s">
        <v>283</v>
      </c>
      <c r="B144" s="507" t="s">
        <v>288</v>
      </c>
      <c r="C144" s="507"/>
      <c r="D144" s="507"/>
      <c r="E144" s="507"/>
      <c r="F144" s="507"/>
      <c r="G144" s="507"/>
      <c r="H144" s="507"/>
      <c r="I144" s="88">
        <f>I127</f>
        <v>78.849999999999994</v>
      </c>
      <c r="K144" s="47"/>
    </row>
    <row r="145" spans="1:9" ht="15.75" customHeight="1">
      <c r="A145" s="52" t="s">
        <v>284</v>
      </c>
      <c r="B145" s="507" t="s">
        <v>289</v>
      </c>
      <c r="C145" s="507"/>
      <c r="D145" s="507"/>
      <c r="E145" s="507"/>
      <c r="F145" s="507"/>
      <c r="G145" s="507"/>
      <c r="H145" s="507"/>
      <c r="I145" s="88">
        <f>I138</f>
        <v>193.15</v>
      </c>
    </row>
    <row r="146" spans="1:9" ht="15.75" customHeight="1">
      <c r="A146" s="52" t="s">
        <v>286</v>
      </c>
      <c r="B146" s="507" t="s">
        <v>126</v>
      </c>
      <c r="C146" s="507"/>
      <c r="D146" s="507"/>
      <c r="E146" s="507"/>
      <c r="F146" s="507"/>
      <c r="G146" s="507"/>
      <c r="H146" s="507"/>
      <c r="I146" s="88">
        <v>0</v>
      </c>
    </row>
    <row r="147" spans="1:9" ht="15.75" customHeight="1">
      <c r="A147" s="525" t="s">
        <v>134</v>
      </c>
      <c r="B147" s="536"/>
      <c r="C147" s="536"/>
      <c r="D147" s="536"/>
      <c r="E147" s="536"/>
      <c r="F147" s="536"/>
      <c r="G147" s="536"/>
      <c r="H147" s="537"/>
      <c r="I147" s="55">
        <f>SUM(I141:I146)</f>
        <v>781.87</v>
      </c>
    </row>
    <row r="148" spans="1:9" s="4" customFormat="1" ht="29.25" customHeight="1">
      <c r="A148" s="707" t="s">
        <v>333</v>
      </c>
      <c r="B148" s="708"/>
      <c r="C148" s="708"/>
      <c r="D148" s="708"/>
      <c r="E148" s="708"/>
      <c r="F148" s="708"/>
      <c r="G148" s="708"/>
      <c r="H148" s="708"/>
      <c r="I148" s="708"/>
    </row>
    <row r="149" spans="1:9" ht="32.25" customHeight="1">
      <c r="A149" s="75">
        <v>5</v>
      </c>
      <c r="B149" s="542" t="s">
        <v>374</v>
      </c>
      <c r="C149" s="543"/>
      <c r="D149" s="543"/>
      <c r="E149" s="543"/>
      <c r="F149" s="543"/>
      <c r="G149" s="544"/>
      <c r="H149" s="53" t="s">
        <v>363</v>
      </c>
      <c r="I149" s="116" t="s">
        <v>388</v>
      </c>
    </row>
    <row r="150" spans="1:9" ht="40.5" customHeight="1">
      <c r="A150" s="728" t="s">
        <v>317</v>
      </c>
      <c r="B150" s="729"/>
      <c r="C150" s="729"/>
      <c r="D150" s="729"/>
      <c r="E150" s="729"/>
      <c r="F150" s="729"/>
      <c r="G150" s="730"/>
      <c r="H150" s="69" t="s">
        <v>227</v>
      </c>
      <c r="I150" s="97">
        <f>SUM(I66+I79+I89+I147)</f>
        <v>2445.7599999999998</v>
      </c>
    </row>
    <row r="151" spans="1:9" ht="15.75" customHeight="1">
      <c r="A151" s="115" t="s">
        <v>259</v>
      </c>
      <c r="B151" s="709" t="s">
        <v>375</v>
      </c>
      <c r="C151" s="709"/>
      <c r="D151" s="709"/>
      <c r="E151" s="709"/>
      <c r="F151" s="709"/>
      <c r="G151" s="709"/>
      <c r="H151" s="57">
        <v>0.03</v>
      </c>
      <c r="I151" s="51">
        <f>ROUND(H151*I150,2)</f>
        <v>73.37</v>
      </c>
    </row>
    <row r="152" spans="1:9" ht="37.5" customHeight="1">
      <c r="A152" s="728" t="s">
        <v>318</v>
      </c>
      <c r="B152" s="731"/>
      <c r="C152" s="731"/>
      <c r="D152" s="731"/>
      <c r="E152" s="731"/>
      <c r="F152" s="731"/>
      <c r="G152" s="732"/>
      <c r="H152" s="70" t="s">
        <v>227</v>
      </c>
      <c r="I152" s="97">
        <f>SUM(I66+I79+I89+I147+I151)</f>
        <v>2519.1299999999997</v>
      </c>
    </row>
    <row r="153" spans="1:9" ht="15.75" customHeight="1">
      <c r="A153" s="115" t="s">
        <v>261</v>
      </c>
      <c r="B153" s="709" t="s">
        <v>290</v>
      </c>
      <c r="C153" s="709"/>
      <c r="D153" s="709"/>
      <c r="E153" s="709"/>
      <c r="F153" s="709"/>
      <c r="G153" s="709"/>
      <c r="H153" s="57">
        <v>6.7900000000000002E-2</v>
      </c>
      <c r="I153" s="51">
        <f>ROUND(H153*I152,2)</f>
        <v>171.05</v>
      </c>
    </row>
    <row r="154" spans="1:9" ht="45" customHeight="1">
      <c r="A154" s="728" t="s">
        <v>336</v>
      </c>
      <c r="B154" s="731"/>
      <c r="C154" s="731"/>
      <c r="D154" s="731"/>
      <c r="E154" s="731"/>
      <c r="F154" s="731"/>
      <c r="G154" s="732"/>
      <c r="H154" s="70" t="s">
        <v>227</v>
      </c>
      <c r="I154" s="97">
        <f>SUM(I66+I79+I89+I147+I151+I153)</f>
        <v>2690.18</v>
      </c>
    </row>
    <row r="155" spans="1:9" ht="15.75" customHeight="1">
      <c r="A155" s="52" t="s">
        <v>263</v>
      </c>
      <c r="B155" s="738" t="s">
        <v>291</v>
      </c>
      <c r="C155" s="738"/>
      <c r="D155" s="738"/>
      <c r="E155" s="738"/>
      <c r="F155" s="738"/>
      <c r="G155" s="738"/>
      <c r="H155" s="72" t="s">
        <v>227</v>
      </c>
      <c r="I155" s="73" t="s">
        <v>227</v>
      </c>
    </row>
    <row r="156" spans="1:9" ht="15.75" customHeight="1">
      <c r="A156" s="52"/>
      <c r="B156" s="738" t="s">
        <v>376</v>
      </c>
      <c r="C156" s="738"/>
      <c r="D156" s="738"/>
      <c r="E156" s="738"/>
      <c r="F156" s="738"/>
      <c r="G156" s="738"/>
      <c r="H156" s="72" t="s">
        <v>227</v>
      </c>
      <c r="I156" s="73" t="s">
        <v>227</v>
      </c>
    </row>
    <row r="157" spans="1:9" ht="17.25" customHeight="1">
      <c r="A157" s="52"/>
      <c r="B157" s="733" t="s">
        <v>377</v>
      </c>
      <c r="C157" s="734"/>
      <c r="D157" s="734"/>
      <c r="E157" s="734"/>
      <c r="F157" s="734"/>
      <c r="G157" s="735"/>
      <c r="H157" s="48">
        <v>7.5999999999999998E-2</v>
      </c>
      <c r="I157" s="51">
        <f>ROUND(($I$154/(1-$H$165))*H157,2)</f>
        <v>231.68</v>
      </c>
    </row>
    <row r="158" spans="1:9" ht="16.5" customHeight="1">
      <c r="A158" s="52"/>
      <c r="B158" s="733" t="s">
        <v>378</v>
      </c>
      <c r="C158" s="734"/>
      <c r="D158" s="734"/>
      <c r="E158" s="734"/>
      <c r="F158" s="734"/>
      <c r="G158" s="735"/>
      <c r="H158" s="48">
        <v>1.6500000000000001E-2</v>
      </c>
      <c r="I158" s="51">
        <f>ROUND(($I$154/(1-$H$165))*H158,2)</f>
        <v>50.3</v>
      </c>
    </row>
    <row r="159" spans="1:9" ht="29.25" customHeight="1">
      <c r="A159" s="52"/>
      <c r="B159" s="728" t="s">
        <v>308</v>
      </c>
      <c r="C159" s="736"/>
      <c r="D159" s="736"/>
      <c r="E159" s="736"/>
      <c r="F159" s="736"/>
      <c r="G159" s="737"/>
      <c r="H159" s="71" t="s">
        <v>227</v>
      </c>
      <c r="I159" s="73" t="s">
        <v>227</v>
      </c>
    </row>
    <row r="160" spans="1:9" ht="18" customHeight="1">
      <c r="A160" s="52"/>
      <c r="B160" s="627" t="s">
        <v>380</v>
      </c>
      <c r="C160" s="628"/>
      <c r="D160" s="628"/>
      <c r="E160" s="628"/>
      <c r="F160" s="628"/>
      <c r="G160" s="628"/>
      <c r="H160" s="71" t="s">
        <v>227</v>
      </c>
      <c r="I160" s="73" t="s">
        <v>227</v>
      </c>
    </row>
    <row r="161" spans="1:11" ht="18" customHeight="1">
      <c r="A161" s="52"/>
      <c r="B161" s="545" t="s">
        <v>381</v>
      </c>
      <c r="C161" s="533"/>
      <c r="D161" s="533"/>
      <c r="E161" s="533"/>
      <c r="F161" s="533"/>
      <c r="G161" s="533"/>
      <c r="H161" s="71" t="s">
        <v>227</v>
      </c>
      <c r="I161" s="73" t="s">
        <v>227</v>
      </c>
    </row>
    <row r="162" spans="1:11" ht="15" customHeight="1">
      <c r="A162" s="52"/>
      <c r="B162" s="733" t="s">
        <v>379</v>
      </c>
      <c r="C162" s="734"/>
      <c r="D162" s="734"/>
      <c r="E162" s="734"/>
      <c r="F162" s="734"/>
      <c r="G162" s="735"/>
      <c r="H162" s="48">
        <v>2.5000000000000001E-2</v>
      </c>
      <c r="I162" s="51">
        <f>ROUND(($I$154/(1-$H$165))*H162,2)</f>
        <v>76.209999999999994</v>
      </c>
    </row>
    <row r="163" spans="1:11" ht="15.75" customHeight="1">
      <c r="A163" s="525" t="s">
        <v>134</v>
      </c>
      <c r="B163" s="536"/>
      <c r="C163" s="536"/>
      <c r="D163" s="536"/>
      <c r="E163" s="536"/>
      <c r="F163" s="536"/>
      <c r="G163" s="536"/>
      <c r="H163" s="537"/>
      <c r="I163" s="55">
        <f>SUM(I151+I153+I157+I158+I162)</f>
        <v>602.61</v>
      </c>
    </row>
    <row r="164" spans="1:11" ht="6.75" customHeight="1">
      <c r="A164" s="739"/>
      <c r="B164" s="740"/>
      <c r="C164" s="740"/>
      <c r="D164" s="740"/>
      <c r="E164" s="740"/>
      <c r="F164" s="740"/>
      <c r="G164" s="740"/>
      <c r="H164" s="740"/>
      <c r="I164" s="741"/>
    </row>
    <row r="165" spans="1:11" ht="15.75" customHeight="1">
      <c r="A165" s="705" t="s">
        <v>302</v>
      </c>
      <c r="B165" s="706"/>
      <c r="C165" s="706"/>
      <c r="D165" s="706"/>
      <c r="E165" s="706"/>
      <c r="F165" s="706"/>
      <c r="G165" s="706"/>
      <c r="H165" s="98">
        <f>SUM(H157:H162)</f>
        <v>0.11749999999999999</v>
      </c>
      <c r="I165" s="34">
        <f>SUM(I157:I162)</f>
        <v>358.19</v>
      </c>
    </row>
    <row r="166" spans="1:11" ht="12.75" customHeight="1">
      <c r="A166" s="695" t="s">
        <v>292</v>
      </c>
      <c r="B166" s="696"/>
      <c r="C166" s="703" t="s">
        <v>294</v>
      </c>
      <c r="D166" s="704"/>
      <c r="E166" s="704"/>
      <c r="F166" s="704"/>
      <c r="G166" s="704"/>
      <c r="H166" s="704"/>
      <c r="I166" s="704"/>
    </row>
    <row r="167" spans="1:11" ht="12" customHeight="1">
      <c r="A167" s="697"/>
      <c r="B167" s="698"/>
      <c r="C167" s="723" t="s">
        <v>293</v>
      </c>
      <c r="D167" s="724"/>
      <c r="E167" s="724"/>
      <c r="F167" s="724"/>
      <c r="G167" s="724"/>
      <c r="H167" s="724"/>
      <c r="I167" s="724"/>
    </row>
    <row r="168" spans="1:11" ht="13.5" customHeight="1">
      <c r="A168" s="699"/>
      <c r="B168" s="700"/>
      <c r="C168" s="725" t="s">
        <v>295</v>
      </c>
      <c r="D168" s="726"/>
      <c r="E168" s="726"/>
      <c r="F168" s="726"/>
      <c r="G168" s="726"/>
      <c r="H168" s="726"/>
      <c r="I168" s="726"/>
    </row>
    <row r="169" spans="1:11" ht="6.75" customHeight="1">
      <c r="A169" s="701"/>
      <c r="B169" s="702"/>
      <c r="C169" s="702"/>
      <c r="D169" s="702"/>
      <c r="E169" s="702"/>
      <c r="F169" s="702"/>
      <c r="G169" s="702"/>
      <c r="H169" s="702"/>
      <c r="I169" s="702"/>
    </row>
    <row r="170" spans="1:11" ht="32.25" customHeight="1">
      <c r="A170" s="545" t="s">
        <v>382</v>
      </c>
      <c r="B170" s="533"/>
      <c r="C170" s="533"/>
      <c r="D170" s="533"/>
      <c r="E170" s="533"/>
      <c r="F170" s="533"/>
      <c r="G170" s="533"/>
      <c r="H170" s="533"/>
      <c r="I170" s="629"/>
    </row>
    <row r="171" spans="1:11" ht="5.25" customHeight="1">
      <c r="A171" s="693"/>
      <c r="B171" s="694"/>
      <c r="C171" s="694"/>
      <c r="D171" s="694"/>
      <c r="E171" s="694"/>
      <c r="F171" s="694"/>
      <c r="G171" s="694"/>
      <c r="H171" s="694"/>
      <c r="I171" s="694"/>
    </row>
    <row r="172" spans="1:11" ht="45" customHeight="1">
      <c r="A172" s="748" t="s">
        <v>383</v>
      </c>
      <c r="B172" s="749"/>
      <c r="C172" s="749"/>
      <c r="D172" s="749"/>
      <c r="E172" s="749"/>
      <c r="F172" s="749"/>
      <c r="G172" s="749"/>
      <c r="H172" s="749"/>
      <c r="I172" s="750"/>
    </row>
    <row r="173" spans="1:11" ht="15" customHeight="1">
      <c r="A173" s="528" t="s">
        <v>114</v>
      </c>
      <c r="B173" s="746"/>
      <c r="C173" s="746"/>
      <c r="D173" s="746"/>
      <c r="E173" s="746"/>
      <c r="F173" s="746"/>
      <c r="G173" s="746"/>
      <c r="H173" s="747"/>
      <c r="I173" s="35" t="s">
        <v>127</v>
      </c>
    </row>
    <row r="174" spans="1:11" ht="15" customHeight="1">
      <c r="A174" s="99" t="s">
        <v>259</v>
      </c>
      <c r="B174" s="533" t="s">
        <v>384</v>
      </c>
      <c r="C174" s="533"/>
      <c r="D174" s="533"/>
      <c r="E174" s="533"/>
      <c r="F174" s="533"/>
      <c r="G174" s="533"/>
      <c r="H174" s="533"/>
      <c r="I174" s="90">
        <f>I66</f>
        <v>1055.5999999999999</v>
      </c>
      <c r="K174" s="59"/>
    </row>
    <row r="175" spans="1:11" ht="15" customHeight="1">
      <c r="A175" s="99" t="s">
        <v>261</v>
      </c>
      <c r="B175" s="533" t="s">
        <v>101</v>
      </c>
      <c r="C175" s="533"/>
      <c r="D175" s="533"/>
      <c r="E175" s="533"/>
      <c r="F175" s="533"/>
      <c r="G175" s="533"/>
      <c r="H175" s="533"/>
      <c r="I175" s="90">
        <f>I79</f>
        <v>330.28999999999996</v>
      </c>
    </row>
    <row r="176" spans="1:11" ht="15" customHeight="1">
      <c r="A176" s="99" t="s">
        <v>263</v>
      </c>
      <c r="B176" s="533" t="s">
        <v>102</v>
      </c>
      <c r="C176" s="533"/>
      <c r="D176" s="533"/>
      <c r="E176" s="533"/>
      <c r="F176" s="533"/>
      <c r="G176" s="533"/>
      <c r="H176" s="533"/>
      <c r="I176" s="90">
        <f>I89</f>
        <v>278</v>
      </c>
    </row>
    <row r="177" spans="1:9" ht="15" customHeight="1">
      <c r="A177" s="99" t="s">
        <v>264</v>
      </c>
      <c r="B177" s="533" t="s">
        <v>372</v>
      </c>
      <c r="C177" s="533"/>
      <c r="D177" s="533"/>
      <c r="E177" s="533"/>
      <c r="F177" s="533"/>
      <c r="G177" s="533"/>
      <c r="H177" s="533"/>
      <c r="I177" s="90">
        <f>I147</f>
        <v>781.87</v>
      </c>
    </row>
    <row r="178" spans="1:9" ht="15" customHeight="1">
      <c r="A178" s="617" t="s">
        <v>115</v>
      </c>
      <c r="B178" s="387"/>
      <c r="C178" s="387"/>
      <c r="D178" s="387"/>
      <c r="E178" s="387"/>
      <c r="F178" s="387"/>
      <c r="G178" s="387"/>
      <c r="H178" s="387"/>
      <c r="I178" s="54">
        <f>SUM(I174:I177)</f>
        <v>2445.7599999999998</v>
      </c>
    </row>
    <row r="179" spans="1:9" ht="15" customHeight="1">
      <c r="A179" s="117" t="s">
        <v>272</v>
      </c>
      <c r="B179" s="533" t="s">
        <v>103</v>
      </c>
      <c r="C179" s="533"/>
      <c r="D179" s="533"/>
      <c r="E179" s="533"/>
      <c r="F179" s="533"/>
      <c r="G179" s="533"/>
      <c r="H179" s="533"/>
      <c r="I179" s="90">
        <f>I163</f>
        <v>602.61</v>
      </c>
    </row>
    <row r="180" spans="1:9" ht="15" customHeight="1">
      <c r="A180" s="617" t="s">
        <v>104</v>
      </c>
      <c r="B180" s="387"/>
      <c r="C180" s="387"/>
      <c r="D180" s="387"/>
      <c r="E180" s="387"/>
      <c r="F180" s="387"/>
      <c r="G180" s="387"/>
      <c r="H180" s="387"/>
      <c r="I180" s="54">
        <f>SUM(I178:I179)</f>
        <v>3048.37</v>
      </c>
    </row>
    <row r="181" spans="1:9" ht="30.75" customHeight="1">
      <c r="A181" s="755" t="s">
        <v>307</v>
      </c>
      <c r="B181" s="756"/>
      <c r="C181" s="756"/>
      <c r="D181" s="756"/>
      <c r="E181" s="756"/>
      <c r="F181" s="756"/>
      <c r="G181" s="756"/>
      <c r="H181" s="756"/>
      <c r="I181" s="757"/>
    </row>
    <row r="182" spans="1:9" ht="48.75" customHeight="1">
      <c r="A182" s="751" t="s">
        <v>105</v>
      </c>
      <c r="B182" s="752"/>
      <c r="C182" s="752"/>
      <c r="D182" s="752"/>
      <c r="E182" s="752"/>
      <c r="F182" s="752"/>
      <c r="G182" s="752"/>
      <c r="H182" s="752"/>
      <c r="I182" s="753"/>
    </row>
    <row r="183" spans="1:9" ht="63" customHeight="1">
      <c r="A183" s="758" t="s">
        <v>117</v>
      </c>
      <c r="B183" s="754"/>
      <c r="C183" s="754" t="s">
        <v>116</v>
      </c>
      <c r="D183" s="754"/>
      <c r="E183" s="104" t="s">
        <v>118</v>
      </c>
      <c r="F183" s="754" t="s">
        <v>119</v>
      </c>
      <c r="G183" s="754"/>
      <c r="H183" s="103" t="s">
        <v>120</v>
      </c>
      <c r="I183" s="103" t="s">
        <v>121</v>
      </c>
    </row>
    <row r="184" spans="1:9" ht="14.25" customHeight="1">
      <c r="A184" s="475" t="s">
        <v>122</v>
      </c>
      <c r="B184" s="535"/>
      <c r="C184" s="535" t="s">
        <v>305</v>
      </c>
      <c r="D184" s="535"/>
      <c r="E184" s="106"/>
      <c r="F184" s="535" t="s">
        <v>305</v>
      </c>
      <c r="G184" s="535"/>
      <c r="H184" s="107"/>
      <c r="I184" s="105" t="s">
        <v>305</v>
      </c>
    </row>
    <row r="185" spans="1:9" ht="15.75" customHeight="1">
      <c r="A185" s="475" t="s">
        <v>304</v>
      </c>
      <c r="B185" s="535"/>
      <c r="C185" s="535" t="s">
        <v>305</v>
      </c>
      <c r="D185" s="535"/>
      <c r="E185" s="106"/>
      <c r="F185" s="535" t="s">
        <v>305</v>
      </c>
      <c r="G185" s="535"/>
      <c r="H185" s="107"/>
      <c r="I185" s="105" t="s">
        <v>305</v>
      </c>
    </row>
    <row r="186" spans="1:9" ht="12.75">
      <c r="A186" s="475" t="s">
        <v>303</v>
      </c>
      <c r="B186" s="535"/>
      <c r="C186" s="535" t="s">
        <v>305</v>
      </c>
      <c r="D186" s="535"/>
      <c r="E186" s="105"/>
      <c r="F186" s="535" t="s">
        <v>305</v>
      </c>
      <c r="G186" s="535"/>
      <c r="H186" s="105"/>
      <c r="I186" s="105" t="s">
        <v>305</v>
      </c>
    </row>
    <row r="187" spans="1:9" ht="12.75">
      <c r="A187" s="462" t="s">
        <v>106</v>
      </c>
      <c r="B187" s="463"/>
      <c r="C187" s="463"/>
      <c r="D187" s="463"/>
      <c r="E187" s="463"/>
      <c r="F187" s="463"/>
      <c r="G187" s="463"/>
      <c r="H187" s="463"/>
      <c r="I187" s="105"/>
    </row>
    <row r="188" spans="1:9" ht="42" customHeight="1">
      <c r="A188" s="751" t="s">
        <v>107</v>
      </c>
      <c r="B188" s="523"/>
      <c r="C188" s="523"/>
      <c r="D188" s="523"/>
      <c r="E188" s="523"/>
      <c r="F188" s="523"/>
      <c r="G188" s="523"/>
      <c r="H188" s="523"/>
      <c r="I188" s="524"/>
    </row>
    <row r="189" spans="1:9" ht="21.75" customHeight="1">
      <c r="A189" s="751" t="s">
        <v>108</v>
      </c>
      <c r="B189" s="523"/>
      <c r="C189" s="523"/>
      <c r="D189" s="523"/>
      <c r="E189" s="523"/>
      <c r="F189" s="523"/>
      <c r="G189" s="523"/>
      <c r="H189" s="523"/>
      <c r="I189" s="524"/>
    </row>
    <row r="190" spans="1:9" ht="18" customHeight="1">
      <c r="A190" s="522" t="s">
        <v>123</v>
      </c>
      <c r="B190" s="523"/>
      <c r="C190" s="523"/>
      <c r="D190" s="523"/>
      <c r="E190" s="523"/>
      <c r="F190" s="523"/>
      <c r="G190" s="523"/>
      <c r="H190" s="524"/>
      <c r="I190" s="103" t="s">
        <v>127</v>
      </c>
    </row>
    <row r="191" spans="1:9" ht="12.75">
      <c r="A191" s="743" t="s">
        <v>390</v>
      </c>
      <c r="B191" s="734"/>
      <c r="C191" s="734"/>
      <c r="D191" s="734"/>
      <c r="E191" s="734"/>
      <c r="F191" s="734"/>
      <c r="G191" s="734"/>
      <c r="H191" s="735"/>
      <c r="I191" s="105"/>
    </row>
    <row r="192" spans="1:9" ht="12.75">
      <c r="A192" s="743" t="s">
        <v>124</v>
      </c>
      <c r="B192" s="734"/>
      <c r="C192" s="734"/>
      <c r="D192" s="734"/>
      <c r="E192" s="734"/>
      <c r="F192" s="734"/>
      <c r="G192" s="734"/>
      <c r="H192" s="735"/>
      <c r="I192" s="105"/>
    </row>
    <row r="193" spans="1:13" ht="21" customHeight="1">
      <c r="A193" s="743" t="s">
        <v>389</v>
      </c>
      <c r="B193" s="744"/>
      <c r="C193" s="744"/>
      <c r="D193" s="744"/>
      <c r="E193" s="744"/>
      <c r="F193" s="744"/>
      <c r="G193" s="744"/>
      <c r="H193" s="745"/>
      <c r="I193" s="105"/>
    </row>
    <row r="194" spans="1:13" ht="6.75" customHeight="1">
      <c r="A194" s="477"/>
      <c r="B194" s="478"/>
      <c r="C194" s="478"/>
      <c r="D194" s="478"/>
      <c r="E194" s="478"/>
      <c r="F194" s="478"/>
      <c r="G194" s="478"/>
      <c r="H194" s="478"/>
      <c r="I194" s="479"/>
    </row>
    <row r="195" spans="1:13" ht="15.75" customHeight="1">
      <c r="A195" s="475" t="s">
        <v>109</v>
      </c>
      <c r="B195" s="476"/>
      <c r="C195" s="476"/>
      <c r="D195" s="476"/>
      <c r="E195" s="476"/>
      <c r="F195" s="476"/>
      <c r="G195" s="476"/>
      <c r="H195" s="476"/>
      <c r="I195" s="476"/>
    </row>
    <row r="196" spans="1:13" ht="7.5" customHeight="1">
      <c r="A196" s="460"/>
      <c r="B196" s="461"/>
      <c r="C196" s="461"/>
      <c r="D196" s="461"/>
      <c r="E196" s="461"/>
      <c r="F196" s="461"/>
      <c r="G196" s="461"/>
      <c r="H196" s="461"/>
      <c r="I196" s="461"/>
    </row>
    <row r="197" spans="1:13" ht="15" hidden="1" customHeight="1">
      <c r="A197" s="26"/>
      <c r="B197" s="26"/>
      <c r="C197" s="26"/>
      <c r="D197" s="26"/>
      <c r="E197" s="26"/>
      <c r="F197" s="26"/>
      <c r="G197" s="26"/>
      <c r="H197" s="24"/>
      <c r="I197" s="41"/>
      <c r="J197" s="16"/>
      <c r="K197" s="9"/>
      <c r="L197" s="3"/>
      <c r="M197" s="10"/>
    </row>
    <row r="198" spans="1:13" ht="24" customHeight="1">
      <c r="A198" s="480" t="s">
        <v>306</v>
      </c>
      <c r="B198" s="480"/>
      <c r="C198" s="480"/>
      <c r="D198" s="480"/>
      <c r="E198" s="480"/>
      <c r="F198" s="480"/>
      <c r="G198" s="480"/>
      <c r="H198" s="480"/>
      <c r="I198" s="481"/>
    </row>
    <row r="199" spans="1:13" ht="15.75">
      <c r="A199" s="609" t="s">
        <v>162</v>
      </c>
      <c r="B199" s="609"/>
      <c r="C199" s="609"/>
      <c r="D199" s="609"/>
      <c r="E199" s="609"/>
      <c r="F199" s="609"/>
      <c r="G199" s="609"/>
      <c r="H199" s="609"/>
      <c r="I199" s="610"/>
    </row>
    <row r="200" spans="1:13" ht="11.45" customHeight="1">
      <c r="A200" s="19"/>
      <c r="B200" s="19"/>
      <c r="C200" s="19"/>
      <c r="D200" s="19"/>
      <c r="E200" s="19"/>
      <c r="F200" s="19"/>
      <c r="G200" s="19"/>
      <c r="H200" s="19"/>
      <c r="I200" s="38"/>
    </row>
    <row r="201" spans="1:13" ht="21" customHeight="1">
      <c r="A201" s="482" t="s">
        <v>110</v>
      </c>
      <c r="B201" s="482"/>
      <c r="C201" s="482"/>
      <c r="D201" s="482"/>
      <c r="E201" s="482"/>
      <c r="F201" s="482"/>
      <c r="G201" s="482"/>
      <c r="H201" s="482"/>
      <c r="I201" s="481"/>
    </row>
    <row r="202" spans="1:13" ht="48" customHeight="1">
      <c r="A202" s="611" t="s">
        <v>391</v>
      </c>
      <c r="B202" s="611"/>
      <c r="C202" s="611"/>
      <c r="D202" s="611"/>
      <c r="E202" s="611"/>
      <c r="F202" s="611"/>
      <c r="G202" s="611"/>
      <c r="H202" s="611"/>
      <c r="I202" s="612"/>
    </row>
    <row r="203" spans="1:13" ht="45" customHeight="1">
      <c r="A203" s="579" t="s">
        <v>225</v>
      </c>
      <c r="B203" s="447"/>
      <c r="C203" s="400" t="s">
        <v>148</v>
      </c>
      <c r="D203" s="400"/>
      <c r="E203" s="400" t="s">
        <v>149</v>
      </c>
      <c r="F203" s="400"/>
      <c r="G203" s="338" t="s">
        <v>150</v>
      </c>
      <c r="H203" s="339"/>
      <c r="I203" s="340"/>
    </row>
    <row r="204" spans="1:13" ht="14.25" customHeight="1">
      <c r="A204" s="366" t="s">
        <v>229</v>
      </c>
      <c r="B204" s="367"/>
      <c r="C204" s="613" t="s">
        <v>185</v>
      </c>
      <c r="D204" s="613"/>
      <c r="E204" s="341">
        <v>0</v>
      </c>
      <c r="F204" s="341"/>
      <c r="G204" s="591">
        <v>0</v>
      </c>
      <c r="H204" s="1157"/>
      <c r="I204" s="1158"/>
    </row>
    <row r="205" spans="1:13" ht="12" customHeight="1">
      <c r="A205" s="366" t="s">
        <v>230</v>
      </c>
      <c r="B205" s="367"/>
      <c r="C205" s="356" t="s">
        <v>186</v>
      </c>
      <c r="D205" s="356"/>
      <c r="E205" s="351">
        <f>I180</f>
        <v>3048.37</v>
      </c>
      <c r="F205" s="352"/>
      <c r="G205" s="357">
        <f>ROUND((1/600)*E205,2)</f>
        <v>5.08</v>
      </c>
      <c r="H205" s="358"/>
      <c r="I205" s="340"/>
      <c r="J205" s="1">
        <f>E205/600</f>
        <v>5.0806166666666668</v>
      </c>
    </row>
    <row r="206" spans="1:13" ht="12" customHeight="1">
      <c r="A206" s="370" t="s">
        <v>134</v>
      </c>
      <c r="B206" s="371"/>
      <c r="C206" s="372"/>
      <c r="D206" s="372"/>
      <c r="E206" s="372"/>
      <c r="F206" s="373"/>
      <c r="G206" s="357">
        <f>SUM(G204+G205)</f>
        <v>5.08</v>
      </c>
      <c r="H206" s="358"/>
      <c r="I206" s="340"/>
    </row>
    <row r="207" spans="1:13" ht="6.75" customHeight="1">
      <c r="A207" s="464"/>
      <c r="B207" s="465"/>
      <c r="C207" s="466"/>
      <c r="D207" s="466"/>
      <c r="E207" s="466"/>
      <c r="F207" s="466"/>
      <c r="G207" s="466"/>
      <c r="H207" s="466"/>
      <c r="I207" s="467"/>
    </row>
    <row r="208" spans="1:13" ht="12" customHeight="1">
      <c r="A208" s="595" t="s">
        <v>231</v>
      </c>
      <c r="B208" s="596"/>
      <c r="C208" s="353" t="s">
        <v>185</v>
      </c>
      <c r="D208" s="353"/>
      <c r="E208" s="344">
        <v>0</v>
      </c>
      <c r="F208" s="344"/>
      <c r="G208" s="591">
        <v>0</v>
      </c>
      <c r="H208" s="1157"/>
      <c r="I208" s="1158"/>
    </row>
    <row r="209" spans="1:256" ht="12.75">
      <c r="A209" s="366" t="s">
        <v>232</v>
      </c>
      <c r="B209" s="367"/>
      <c r="C209" s="356" t="s">
        <v>186</v>
      </c>
      <c r="D209" s="356"/>
      <c r="E209" s="341">
        <v>0</v>
      </c>
      <c r="F209" s="341"/>
      <c r="G209" s="591">
        <f>ROUND((1/600)*E209,2)</f>
        <v>0</v>
      </c>
      <c r="H209" s="592"/>
      <c r="I209" s="337"/>
    </row>
    <row r="210" spans="1:256" ht="12.75">
      <c r="A210" s="362" t="s">
        <v>134</v>
      </c>
      <c r="B210" s="363"/>
      <c r="C210" s="364"/>
      <c r="D210" s="364"/>
      <c r="E210" s="364"/>
      <c r="F210" s="365"/>
      <c r="G210" s="357">
        <f>SUM(G208+G209)</f>
        <v>0</v>
      </c>
      <c r="H210" s="358"/>
      <c r="I210" s="340"/>
    </row>
    <row r="211" spans="1:256" ht="6.75" customHeight="1">
      <c r="A211" s="464"/>
      <c r="B211" s="465"/>
      <c r="C211" s="407"/>
      <c r="D211" s="407"/>
      <c r="E211" s="407"/>
      <c r="F211" s="407"/>
      <c r="G211" s="407"/>
      <c r="H211" s="407"/>
      <c r="I211" s="467"/>
      <c r="K211" s="8"/>
    </row>
    <row r="212" spans="1:256" ht="12.75">
      <c r="A212" s="355" t="s">
        <v>418</v>
      </c>
      <c r="B212" s="355"/>
      <c r="C212" s="1159">
        <v>0</v>
      </c>
      <c r="D212" s="1159"/>
      <c r="E212" s="1160">
        <v>0</v>
      </c>
      <c r="F212" s="1160"/>
      <c r="G212" s="1162">
        <v>0</v>
      </c>
      <c r="H212" s="1162"/>
      <c r="I212" s="1163"/>
    </row>
    <row r="213" spans="1:256" ht="12.75">
      <c r="A213" s="368" t="s">
        <v>420</v>
      </c>
      <c r="B213" s="368"/>
      <c r="C213" s="1161" t="s">
        <v>419</v>
      </c>
      <c r="D213" s="1161"/>
      <c r="E213" s="351">
        <f>I180</f>
        <v>3048.37</v>
      </c>
      <c r="F213" s="343"/>
      <c r="G213" s="356">
        <f>ROUND((1/300)*E213,2)</f>
        <v>10.16</v>
      </c>
      <c r="H213" s="468"/>
      <c r="I213" s="397"/>
      <c r="J213" s="1">
        <f>E213/300</f>
        <v>10.161233333333334</v>
      </c>
    </row>
    <row r="214" spans="1:256" ht="12.75">
      <c r="A214" s="362" t="s">
        <v>134</v>
      </c>
      <c r="B214" s="363"/>
      <c r="C214" s="364"/>
      <c r="D214" s="364"/>
      <c r="E214" s="364"/>
      <c r="F214" s="365"/>
      <c r="G214" s="469">
        <f>SUM(G212+G213)</f>
        <v>10.16</v>
      </c>
      <c r="H214" s="470"/>
      <c r="I214" s="471"/>
    </row>
    <row r="215" spans="1:256" ht="6" customHeight="1">
      <c r="A215" s="472"/>
      <c r="B215" s="472"/>
      <c r="C215" s="473"/>
      <c r="D215" s="473"/>
      <c r="E215" s="473"/>
      <c r="F215" s="473"/>
      <c r="G215" s="473"/>
      <c r="H215" s="473"/>
      <c r="I215" s="474"/>
    </row>
    <row r="216" spans="1:256" ht="13.5" customHeight="1">
      <c r="A216" s="354" t="s">
        <v>246</v>
      </c>
      <c r="B216" s="355"/>
      <c r="C216" s="353" t="s">
        <v>188</v>
      </c>
      <c r="D216" s="353"/>
      <c r="E216" s="344">
        <v>0</v>
      </c>
      <c r="F216" s="344"/>
      <c r="G216" s="591">
        <v>0</v>
      </c>
      <c r="H216" s="1157"/>
      <c r="I216" s="1158"/>
      <c r="J216" s="454"/>
      <c r="K216" s="454"/>
      <c r="L216" s="454"/>
      <c r="M216" s="454"/>
      <c r="N216" s="454"/>
      <c r="O216" s="454"/>
      <c r="P216" s="454"/>
      <c r="Q216" s="410" t="s">
        <v>165</v>
      </c>
      <c r="R216" s="410"/>
      <c r="S216" s="410"/>
      <c r="T216" s="410"/>
      <c r="U216" s="410"/>
      <c r="V216" s="410"/>
      <c r="W216" s="410"/>
      <c r="X216" s="410"/>
      <c r="Y216" s="410" t="s">
        <v>165</v>
      </c>
      <c r="Z216" s="410"/>
      <c r="AA216" s="410"/>
      <c r="AB216" s="410"/>
      <c r="AC216" s="410"/>
      <c r="AD216" s="410"/>
      <c r="AE216" s="410"/>
      <c r="AF216" s="410"/>
      <c r="AG216" s="410" t="s">
        <v>165</v>
      </c>
      <c r="AH216" s="410"/>
      <c r="AI216" s="410"/>
      <c r="AJ216" s="410"/>
      <c r="AK216" s="410"/>
      <c r="AL216" s="410"/>
      <c r="AM216" s="410"/>
      <c r="AN216" s="410"/>
      <c r="AO216" s="410" t="s">
        <v>165</v>
      </c>
      <c r="AP216" s="410"/>
      <c r="AQ216" s="410"/>
      <c r="AR216" s="410"/>
      <c r="AS216" s="410"/>
      <c r="AT216" s="410"/>
      <c r="AU216" s="410"/>
      <c r="AV216" s="410"/>
      <c r="AW216" s="410" t="s">
        <v>165</v>
      </c>
      <c r="AX216" s="410"/>
      <c r="AY216" s="410"/>
      <c r="AZ216" s="410"/>
      <c r="BA216" s="410"/>
      <c r="BB216" s="410"/>
      <c r="BC216" s="410"/>
      <c r="BD216" s="410"/>
      <c r="BE216" s="410" t="s">
        <v>165</v>
      </c>
      <c r="BF216" s="410"/>
      <c r="BG216" s="410"/>
      <c r="BH216" s="410"/>
      <c r="BI216" s="410"/>
      <c r="BJ216" s="410"/>
      <c r="BK216" s="410"/>
      <c r="BL216" s="410"/>
      <c r="BM216" s="410" t="s">
        <v>165</v>
      </c>
      <c r="BN216" s="410"/>
      <c r="BO216" s="410"/>
      <c r="BP216" s="410"/>
      <c r="BQ216" s="410"/>
      <c r="BR216" s="410"/>
      <c r="BS216" s="410"/>
      <c r="BT216" s="410"/>
      <c r="BU216" s="410" t="s">
        <v>165</v>
      </c>
      <c r="BV216" s="410"/>
      <c r="BW216" s="410"/>
      <c r="BX216" s="410"/>
      <c r="BY216" s="413"/>
      <c r="BZ216" s="414"/>
      <c r="CA216" s="414"/>
      <c r="CB216" s="414"/>
      <c r="CC216" s="410" t="s">
        <v>165</v>
      </c>
      <c r="CD216" s="410"/>
      <c r="CE216" s="410"/>
      <c r="CF216" s="410"/>
      <c r="CG216" s="410"/>
      <c r="CH216" s="410"/>
      <c r="CI216" s="410"/>
      <c r="CJ216" s="410"/>
      <c r="CK216" s="410" t="s">
        <v>165</v>
      </c>
      <c r="CL216" s="410"/>
      <c r="CM216" s="410"/>
      <c r="CN216" s="410"/>
      <c r="CO216" s="410"/>
      <c r="CP216" s="410"/>
      <c r="CQ216" s="410"/>
      <c r="CR216" s="410"/>
      <c r="CS216" s="410" t="s">
        <v>165</v>
      </c>
      <c r="CT216" s="410"/>
      <c r="CU216" s="410"/>
      <c r="CV216" s="410"/>
      <c r="CW216" s="410"/>
      <c r="CX216" s="410"/>
      <c r="CY216" s="410"/>
      <c r="CZ216" s="410"/>
      <c r="DA216" s="410" t="s">
        <v>165</v>
      </c>
      <c r="DB216" s="410"/>
      <c r="DC216" s="410"/>
      <c r="DD216" s="410"/>
      <c r="DE216" s="410"/>
      <c r="DF216" s="410"/>
      <c r="DG216" s="410"/>
      <c r="DH216" s="410"/>
      <c r="DI216" s="410" t="s">
        <v>165</v>
      </c>
      <c r="DJ216" s="410"/>
      <c r="DK216" s="410"/>
      <c r="DL216" s="410"/>
      <c r="DM216" s="410"/>
      <c r="DN216" s="410"/>
      <c r="DO216" s="410"/>
      <c r="DP216" s="410"/>
      <c r="DQ216" s="410" t="s">
        <v>165</v>
      </c>
      <c r="DR216" s="410"/>
      <c r="DS216" s="410"/>
      <c r="DT216" s="410"/>
      <c r="DU216" s="410"/>
      <c r="DV216" s="410"/>
      <c r="DW216" s="410"/>
      <c r="DX216" s="410"/>
      <c r="DY216" s="410" t="s">
        <v>165</v>
      </c>
      <c r="DZ216" s="410"/>
      <c r="EA216" s="410"/>
      <c r="EB216" s="410"/>
      <c r="EC216" s="410"/>
      <c r="ED216" s="410"/>
      <c r="EE216" s="410"/>
      <c r="EF216" s="410"/>
      <c r="EG216" s="410" t="s">
        <v>165</v>
      </c>
      <c r="EH216" s="410"/>
      <c r="EI216" s="410"/>
      <c r="EJ216" s="410"/>
      <c r="EK216" s="410"/>
      <c r="EL216" s="410"/>
      <c r="EM216" s="410"/>
      <c r="EN216" s="410"/>
      <c r="EO216" s="410" t="s">
        <v>165</v>
      </c>
      <c r="EP216" s="410"/>
      <c r="EQ216" s="410"/>
      <c r="ER216" s="410"/>
      <c r="ES216" s="410"/>
      <c r="ET216" s="410"/>
      <c r="EU216" s="410"/>
      <c r="EV216" s="410"/>
      <c r="EW216" s="410" t="s">
        <v>165</v>
      </c>
      <c r="EX216" s="410"/>
      <c r="EY216" s="410"/>
      <c r="EZ216" s="410"/>
      <c r="FA216" s="410"/>
      <c r="FB216" s="410"/>
      <c r="FC216" s="410"/>
      <c r="FD216" s="410"/>
      <c r="FE216" s="410" t="s">
        <v>165</v>
      </c>
      <c r="FF216" s="410"/>
      <c r="FG216" s="410"/>
      <c r="FH216" s="410"/>
      <c r="FI216" s="410"/>
      <c r="FJ216" s="410"/>
      <c r="FK216" s="410"/>
      <c r="FL216" s="410"/>
      <c r="FM216" s="410" t="s">
        <v>165</v>
      </c>
      <c r="FN216" s="410"/>
      <c r="FO216" s="410"/>
      <c r="FP216" s="410"/>
      <c r="FQ216" s="410"/>
      <c r="FR216" s="410"/>
      <c r="FS216" s="410"/>
      <c r="FT216" s="410"/>
      <c r="FU216" s="410" t="s">
        <v>165</v>
      </c>
      <c r="FV216" s="410"/>
      <c r="FW216" s="410"/>
      <c r="FX216" s="410"/>
      <c r="FY216" s="410"/>
      <c r="FZ216" s="410"/>
      <c r="GA216" s="410"/>
      <c r="GB216" s="410"/>
      <c r="GC216" s="410" t="s">
        <v>165</v>
      </c>
      <c r="GD216" s="410"/>
      <c r="GE216" s="410"/>
      <c r="GF216" s="410"/>
      <c r="GG216" s="410"/>
      <c r="GH216" s="410"/>
      <c r="GI216" s="410"/>
      <c r="GJ216" s="410"/>
      <c r="GK216" s="410" t="s">
        <v>165</v>
      </c>
      <c r="GL216" s="410"/>
      <c r="GM216" s="410"/>
      <c r="GN216" s="410"/>
      <c r="GO216" s="410"/>
      <c r="GP216" s="410"/>
      <c r="GQ216" s="410"/>
      <c r="GR216" s="410"/>
      <c r="GS216" s="410" t="s">
        <v>165</v>
      </c>
      <c r="GT216" s="410"/>
      <c r="GU216" s="410"/>
      <c r="GV216" s="410"/>
      <c r="GW216" s="410"/>
      <c r="GX216" s="410"/>
      <c r="GY216" s="410"/>
      <c r="GZ216" s="410"/>
      <c r="HA216" s="410" t="s">
        <v>165</v>
      </c>
      <c r="HB216" s="410"/>
      <c r="HC216" s="410"/>
      <c r="HD216" s="410"/>
      <c r="HE216" s="410"/>
      <c r="HF216" s="410"/>
      <c r="HG216" s="410"/>
      <c r="HH216" s="410"/>
      <c r="HI216" s="410" t="s">
        <v>165</v>
      </c>
      <c r="HJ216" s="410"/>
      <c r="HK216" s="410"/>
      <c r="HL216" s="410"/>
      <c r="HM216" s="410"/>
      <c r="HN216" s="410"/>
      <c r="HO216" s="410"/>
      <c r="HP216" s="410"/>
      <c r="HQ216" s="410" t="s">
        <v>165</v>
      </c>
      <c r="HR216" s="410"/>
      <c r="HS216" s="410"/>
      <c r="HT216" s="410"/>
      <c r="HU216" s="410"/>
      <c r="HV216" s="410"/>
      <c r="HW216" s="410"/>
      <c r="HX216" s="410"/>
      <c r="HY216" s="410" t="s">
        <v>165</v>
      </c>
      <c r="HZ216" s="410"/>
      <c r="IA216" s="410"/>
      <c r="IB216" s="410"/>
      <c r="IC216" s="410"/>
      <c r="ID216" s="410"/>
      <c r="IE216" s="410"/>
      <c r="IF216" s="410"/>
      <c r="IG216" s="410" t="s">
        <v>165</v>
      </c>
      <c r="IH216" s="410"/>
      <c r="II216" s="410"/>
      <c r="IJ216" s="410"/>
      <c r="IK216" s="410"/>
      <c r="IL216" s="410"/>
      <c r="IM216" s="410"/>
      <c r="IN216" s="410"/>
      <c r="IO216" s="410" t="s">
        <v>165</v>
      </c>
      <c r="IP216" s="410"/>
      <c r="IQ216" s="410"/>
      <c r="IR216" s="410"/>
      <c r="IS216" s="410"/>
      <c r="IT216" s="410"/>
      <c r="IU216" s="410"/>
      <c r="IV216" s="410"/>
    </row>
    <row r="217" spans="1:256" ht="13.5" customHeight="1">
      <c r="A217" s="432" t="s">
        <v>319</v>
      </c>
      <c r="B217" s="433"/>
      <c r="C217" s="356" t="s">
        <v>189</v>
      </c>
      <c r="D217" s="356"/>
      <c r="E217" s="351">
        <v>0</v>
      </c>
      <c r="F217" s="352"/>
      <c r="G217" s="591">
        <f>ROUND((1/1350)*E217,2)</f>
        <v>0</v>
      </c>
      <c r="H217" s="592"/>
      <c r="I217" s="1158"/>
      <c r="J217" s="455"/>
      <c r="K217" s="455"/>
      <c r="L217" s="456"/>
      <c r="M217" s="457"/>
      <c r="N217" s="457"/>
      <c r="O217" s="457"/>
      <c r="P217" s="457"/>
      <c r="Q217" s="417" t="s">
        <v>164</v>
      </c>
      <c r="R217" s="411"/>
      <c r="S217" s="411"/>
      <c r="T217" s="412" t="s">
        <v>160</v>
      </c>
      <c r="U217" s="413"/>
      <c r="V217" s="414"/>
      <c r="W217" s="414"/>
      <c r="X217" s="414"/>
      <c r="Y217" s="411" t="s">
        <v>164</v>
      </c>
      <c r="Z217" s="411"/>
      <c r="AA217" s="411"/>
      <c r="AB217" s="412" t="s">
        <v>160</v>
      </c>
      <c r="AC217" s="413"/>
      <c r="AD217" s="414"/>
      <c r="AE217" s="414"/>
      <c r="AF217" s="414"/>
      <c r="AG217" s="411" t="s">
        <v>164</v>
      </c>
      <c r="AH217" s="411"/>
      <c r="AI217" s="411"/>
      <c r="AJ217" s="412" t="s">
        <v>160</v>
      </c>
      <c r="AK217" s="413"/>
      <c r="AL217" s="414"/>
      <c r="AM217" s="414"/>
      <c r="AN217" s="414"/>
      <c r="AO217" s="411" t="s">
        <v>164</v>
      </c>
      <c r="AP217" s="411"/>
      <c r="AQ217" s="411"/>
      <c r="AR217" s="412" t="s">
        <v>160</v>
      </c>
      <c r="AS217" s="413"/>
      <c r="AT217" s="414"/>
      <c r="AU217" s="414"/>
      <c r="AV217" s="414"/>
      <c r="AW217" s="411" t="s">
        <v>164</v>
      </c>
      <c r="AX217" s="411"/>
      <c r="AY217" s="411"/>
      <c r="AZ217" s="412" t="s">
        <v>160</v>
      </c>
      <c r="BA217" s="413"/>
      <c r="BB217" s="414"/>
      <c r="BC217" s="414"/>
      <c r="BD217" s="414"/>
      <c r="BE217" s="411" t="s">
        <v>164</v>
      </c>
      <c r="BF217" s="411"/>
      <c r="BG217" s="411"/>
      <c r="BH217" s="412" t="s">
        <v>160</v>
      </c>
      <c r="BI217" s="413"/>
      <c r="BJ217" s="414"/>
      <c r="BK217" s="414"/>
      <c r="BL217" s="414"/>
      <c r="BM217" s="411" t="s">
        <v>164</v>
      </c>
      <c r="BN217" s="411"/>
      <c r="BO217" s="411"/>
      <c r="BP217" s="412" t="s">
        <v>160</v>
      </c>
      <c r="BQ217" s="413"/>
      <c r="BR217" s="414"/>
      <c r="BS217" s="414"/>
      <c r="BT217" s="414"/>
      <c r="BU217" s="411" t="s">
        <v>164</v>
      </c>
      <c r="BV217" s="411"/>
      <c r="BW217" s="411"/>
      <c r="BX217" s="412" t="s">
        <v>160</v>
      </c>
      <c r="BY217" s="413"/>
      <c r="BZ217" s="414"/>
      <c r="CA217" s="414"/>
      <c r="CB217" s="414"/>
      <c r="CC217" s="411" t="s">
        <v>164</v>
      </c>
      <c r="CD217" s="411"/>
      <c r="CE217" s="411"/>
      <c r="CF217" s="412" t="s">
        <v>160</v>
      </c>
      <c r="CG217" s="413"/>
      <c r="CH217" s="414"/>
      <c r="CI217" s="414"/>
      <c r="CJ217" s="414"/>
      <c r="CK217" s="411" t="s">
        <v>164</v>
      </c>
      <c r="CL217" s="411"/>
      <c r="CM217" s="411"/>
      <c r="CN217" s="412" t="s">
        <v>160</v>
      </c>
      <c r="CO217" s="413"/>
      <c r="CP217" s="414"/>
      <c r="CQ217" s="414"/>
      <c r="CR217" s="414"/>
      <c r="CS217" s="411" t="s">
        <v>164</v>
      </c>
      <c r="CT217" s="411"/>
      <c r="CU217" s="411"/>
      <c r="CV217" s="412" t="s">
        <v>160</v>
      </c>
      <c r="CW217" s="413"/>
      <c r="CX217" s="414"/>
      <c r="CY217" s="414"/>
      <c r="CZ217" s="414"/>
      <c r="DA217" s="411" t="s">
        <v>164</v>
      </c>
      <c r="DB217" s="411"/>
      <c r="DC217" s="411"/>
      <c r="DD217" s="412" t="s">
        <v>160</v>
      </c>
      <c r="DE217" s="413"/>
      <c r="DF217" s="414"/>
      <c r="DG217" s="414"/>
      <c r="DH217" s="414"/>
      <c r="DI217" s="411" t="s">
        <v>164</v>
      </c>
      <c r="DJ217" s="411"/>
      <c r="DK217" s="411"/>
      <c r="DL217" s="412" t="s">
        <v>160</v>
      </c>
      <c r="DM217" s="413"/>
      <c r="DN217" s="414"/>
      <c r="DO217" s="414"/>
      <c r="DP217" s="414"/>
      <c r="DQ217" s="411" t="s">
        <v>164</v>
      </c>
      <c r="DR217" s="411"/>
      <c r="DS217" s="411"/>
      <c r="DT217" s="412" t="s">
        <v>160</v>
      </c>
      <c r="DU217" s="413"/>
      <c r="DV217" s="414"/>
      <c r="DW217" s="414"/>
      <c r="DX217" s="414"/>
      <c r="DY217" s="411" t="s">
        <v>164</v>
      </c>
      <c r="DZ217" s="411"/>
      <c r="EA217" s="411"/>
      <c r="EB217" s="412" t="s">
        <v>160</v>
      </c>
      <c r="EC217" s="413"/>
      <c r="ED217" s="414"/>
      <c r="EE217" s="414"/>
      <c r="EF217" s="414"/>
      <c r="EG217" s="411" t="s">
        <v>164</v>
      </c>
      <c r="EH217" s="411"/>
      <c r="EI217" s="411"/>
      <c r="EJ217" s="412" t="s">
        <v>160</v>
      </c>
      <c r="EK217" s="413"/>
      <c r="EL217" s="414"/>
      <c r="EM217" s="414"/>
      <c r="EN217" s="414"/>
      <c r="EO217" s="411" t="s">
        <v>164</v>
      </c>
      <c r="EP217" s="411"/>
      <c r="EQ217" s="411"/>
      <c r="ER217" s="412" t="s">
        <v>160</v>
      </c>
      <c r="ES217" s="413"/>
      <c r="ET217" s="414"/>
      <c r="EU217" s="414"/>
      <c r="EV217" s="414"/>
      <c r="EW217" s="411" t="s">
        <v>164</v>
      </c>
      <c r="EX217" s="411"/>
      <c r="EY217" s="411"/>
      <c r="EZ217" s="412" t="s">
        <v>160</v>
      </c>
      <c r="FA217" s="413"/>
      <c r="FB217" s="414"/>
      <c r="FC217" s="414"/>
      <c r="FD217" s="414"/>
      <c r="FE217" s="411" t="s">
        <v>164</v>
      </c>
      <c r="FF217" s="411"/>
      <c r="FG217" s="411"/>
      <c r="FH217" s="412" t="s">
        <v>160</v>
      </c>
      <c r="FI217" s="413"/>
      <c r="FJ217" s="414"/>
      <c r="FK217" s="414"/>
      <c r="FL217" s="414"/>
      <c r="FM217" s="411" t="s">
        <v>164</v>
      </c>
      <c r="FN217" s="411"/>
      <c r="FO217" s="411"/>
      <c r="FP217" s="412" t="s">
        <v>160</v>
      </c>
      <c r="FQ217" s="413"/>
      <c r="FR217" s="414"/>
      <c r="FS217" s="414"/>
      <c r="FT217" s="414"/>
      <c r="FU217" s="411" t="s">
        <v>164</v>
      </c>
      <c r="FV217" s="411"/>
      <c r="FW217" s="411"/>
      <c r="FX217" s="412" t="s">
        <v>160</v>
      </c>
      <c r="FY217" s="413"/>
      <c r="FZ217" s="414"/>
      <c r="GA217" s="414"/>
      <c r="GB217" s="414"/>
      <c r="GC217" s="411" t="s">
        <v>164</v>
      </c>
      <c r="GD217" s="411"/>
      <c r="GE217" s="411"/>
      <c r="GF217" s="412" t="s">
        <v>160</v>
      </c>
      <c r="GG217" s="413"/>
      <c r="GH217" s="414"/>
      <c r="GI217" s="414"/>
      <c r="GJ217" s="414"/>
      <c r="GK217" s="411" t="s">
        <v>164</v>
      </c>
      <c r="GL217" s="411"/>
      <c r="GM217" s="411"/>
      <c r="GN217" s="412" t="s">
        <v>160</v>
      </c>
      <c r="GO217" s="413"/>
      <c r="GP217" s="414"/>
      <c r="GQ217" s="414"/>
      <c r="GR217" s="414"/>
      <c r="GS217" s="411" t="s">
        <v>164</v>
      </c>
      <c r="GT217" s="411"/>
      <c r="GU217" s="411"/>
      <c r="GV217" s="412" t="s">
        <v>160</v>
      </c>
      <c r="GW217" s="413"/>
      <c r="GX217" s="414"/>
      <c r="GY217" s="414"/>
      <c r="GZ217" s="414"/>
      <c r="HA217" s="411" t="s">
        <v>164</v>
      </c>
      <c r="HB217" s="411"/>
      <c r="HC217" s="411"/>
      <c r="HD217" s="412" t="s">
        <v>160</v>
      </c>
      <c r="HE217" s="413"/>
      <c r="HF217" s="414"/>
      <c r="HG217" s="414"/>
      <c r="HH217" s="414"/>
      <c r="HI217" s="411" t="s">
        <v>164</v>
      </c>
      <c r="HJ217" s="411"/>
      <c r="HK217" s="411"/>
      <c r="HL217" s="412" t="s">
        <v>160</v>
      </c>
      <c r="HM217" s="413"/>
      <c r="HN217" s="414"/>
      <c r="HO217" s="414"/>
      <c r="HP217" s="414"/>
      <c r="HQ217" s="411" t="s">
        <v>164</v>
      </c>
      <c r="HR217" s="411"/>
      <c r="HS217" s="411"/>
      <c r="HT217" s="412" t="s">
        <v>160</v>
      </c>
      <c r="HU217" s="413"/>
      <c r="HV217" s="414"/>
      <c r="HW217" s="414"/>
      <c r="HX217" s="414"/>
      <c r="HY217" s="411" t="s">
        <v>164</v>
      </c>
      <c r="HZ217" s="411"/>
      <c r="IA217" s="411"/>
      <c r="IB217" s="412" t="s">
        <v>160</v>
      </c>
      <c r="IC217" s="413"/>
      <c r="ID217" s="414"/>
      <c r="IE217" s="414"/>
      <c r="IF217" s="414"/>
      <c r="IG217" s="411" t="s">
        <v>164</v>
      </c>
      <c r="IH217" s="411"/>
      <c r="II217" s="411"/>
      <c r="IJ217" s="412" t="s">
        <v>160</v>
      </c>
      <c r="IK217" s="413"/>
      <c r="IL217" s="414"/>
      <c r="IM217" s="414"/>
      <c r="IN217" s="414"/>
      <c r="IO217" s="411" t="s">
        <v>164</v>
      </c>
      <c r="IP217" s="411"/>
      <c r="IQ217" s="411"/>
      <c r="IR217" s="412" t="s">
        <v>160</v>
      </c>
      <c r="IS217" s="413"/>
      <c r="IT217" s="414"/>
      <c r="IU217" s="414"/>
      <c r="IV217" s="414"/>
    </row>
    <row r="218" spans="1:256" ht="13.5" customHeight="1">
      <c r="A218" s="362" t="s">
        <v>134</v>
      </c>
      <c r="B218" s="363"/>
      <c r="C218" s="364"/>
      <c r="D218" s="364"/>
      <c r="E218" s="364"/>
      <c r="F218" s="365"/>
      <c r="G218" s="357">
        <f>SUM(G216+G217)</f>
        <v>0</v>
      </c>
      <c r="H218" s="358"/>
      <c r="I218" s="431"/>
      <c r="J218" s="455"/>
      <c r="K218" s="455"/>
      <c r="L218" s="456"/>
      <c r="M218" s="457"/>
      <c r="N218" s="457"/>
      <c r="O218" s="457"/>
      <c r="P218" s="457"/>
      <c r="Q218" s="416"/>
      <c r="R218" s="416"/>
      <c r="S218" s="417"/>
      <c r="T218" s="412"/>
      <c r="U218" s="413"/>
      <c r="V218" s="414"/>
      <c r="W218" s="414"/>
      <c r="X218" s="414"/>
      <c r="Y218" s="415"/>
      <c r="Z218" s="416"/>
      <c r="AA218" s="417"/>
      <c r="AB218" s="412"/>
      <c r="AC218" s="413"/>
      <c r="AD218" s="414"/>
      <c r="AE218" s="414"/>
      <c r="AF218" s="414"/>
      <c r="AG218" s="415"/>
      <c r="AH218" s="416"/>
      <c r="AI218" s="417"/>
      <c r="AJ218" s="412"/>
      <c r="AK218" s="413"/>
      <c r="AL218" s="414"/>
      <c r="AM218" s="414"/>
      <c r="AN218" s="414"/>
      <c r="AO218" s="415"/>
      <c r="AP218" s="416"/>
      <c r="AQ218" s="417"/>
      <c r="AR218" s="412"/>
      <c r="AS218" s="413"/>
      <c r="AT218" s="414"/>
      <c r="AU218" s="414"/>
      <c r="AV218" s="414"/>
      <c r="AW218" s="415"/>
      <c r="AX218" s="416"/>
      <c r="AY218" s="417"/>
      <c r="AZ218" s="412"/>
      <c r="BA218" s="413"/>
      <c r="BB218" s="414"/>
      <c r="BC218" s="414"/>
      <c r="BD218" s="414"/>
      <c r="BE218" s="415"/>
      <c r="BF218" s="416"/>
      <c r="BG218" s="417"/>
      <c r="BH218" s="412"/>
      <c r="BI218" s="413"/>
      <c r="BJ218" s="414"/>
      <c r="BK218" s="414"/>
      <c r="BL218" s="414"/>
      <c r="BM218" s="415"/>
      <c r="BN218" s="416"/>
      <c r="BO218" s="417"/>
      <c r="BP218" s="412"/>
      <c r="BQ218" s="413"/>
      <c r="BR218" s="414"/>
      <c r="BS218" s="414"/>
      <c r="BT218" s="414"/>
      <c r="BU218" s="415"/>
      <c r="BV218" s="416"/>
      <c r="BW218" s="417"/>
      <c r="BX218" s="412"/>
      <c r="BY218" s="413"/>
      <c r="BZ218" s="414"/>
      <c r="CA218" s="414"/>
      <c r="CB218" s="414"/>
      <c r="CC218" s="415"/>
      <c r="CD218" s="416"/>
      <c r="CE218" s="417"/>
      <c r="CF218" s="412"/>
      <c r="CG218" s="413"/>
      <c r="CH218" s="414"/>
      <c r="CI218" s="414"/>
      <c r="CJ218" s="414"/>
      <c r="CK218" s="415"/>
      <c r="CL218" s="416"/>
      <c r="CM218" s="417"/>
      <c r="CN218" s="412"/>
      <c r="CO218" s="413"/>
      <c r="CP218" s="414"/>
      <c r="CQ218" s="414"/>
      <c r="CR218" s="414"/>
      <c r="CS218" s="415"/>
      <c r="CT218" s="416"/>
      <c r="CU218" s="417"/>
      <c r="CV218" s="412"/>
      <c r="CW218" s="413"/>
      <c r="CX218" s="414"/>
      <c r="CY218" s="414"/>
      <c r="CZ218" s="414"/>
      <c r="DA218" s="415"/>
      <c r="DB218" s="416"/>
      <c r="DC218" s="417"/>
      <c r="DD218" s="412"/>
      <c r="DE218" s="413"/>
      <c r="DF218" s="414"/>
      <c r="DG218" s="414"/>
      <c r="DH218" s="414"/>
      <c r="DI218" s="415"/>
      <c r="DJ218" s="416"/>
      <c r="DK218" s="417"/>
      <c r="DL218" s="412"/>
      <c r="DM218" s="413"/>
      <c r="DN218" s="414"/>
      <c r="DO218" s="414"/>
      <c r="DP218" s="414"/>
      <c r="DQ218" s="415"/>
      <c r="DR218" s="416"/>
      <c r="DS218" s="417"/>
      <c r="DT218" s="412"/>
      <c r="DU218" s="413"/>
      <c r="DV218" s="414"/>
      <c r="DW218" s="414"/>
      <c r="DX218" s="414"/>
      <c r="DY218" s="415"/>
      <c r="DZ218" s="416"/>
      <c r="EA218" s="417"/>
      <c r="EB218" s="412"/>
      <c r="EC218" s="413"/>
      <c r="ED218" s="414"/>
      <c r="EE218" s="414"/>
      <c r="EF218" s="414"/>
      <c r="EG218" s="415"/>
      <c r="EH218" s="416"/>
      <c r="EI218" s="417"/>
      <c r="EJ218" s="412"/>
      <c r="EK218" s="413"/>
      <c r="EL218" s="414"/>
      <c r="EM218" s="414"/>
      <c r="EN218" s="414"/>
      <c r="EO218" s="415"/>
      <c r="EP218" s="416"/>
      <c r="EQ218" s="417"/>
      <c r="ER218" s="412"/>
      <c r="ES218" s="413"/>
      <c r="ET218" s="414"/>
      <c r="EU218" s="414"/>
      <c r="EV218" s="414"/>
      <c r="EW218" s="415"/>
      <c r="EX218" s="416"/>
      <c r="EY218" s="417"/>
      <c r="EZ218" s="412"/>
      <c r="FA218" s="413"/>
      <c r="FB218" s="414"/>
      <c r="FC218" s="414"/>
      <c r="FD218" s="414"/>
      <c r="FE218" s="415"/>
      <c r="FF218" s="416"/>
      <c r="FG218" s="417"/>
      <c r="FH218" s="412"/>
      <c r="FI218" s="413"/>
      <c r="FJ218" s="414"/>
      <c r="FK218" s="414"/>
      <c r="FL218" s="414"/>
      <c r="FM218" s="415"/>
      <c r="FN218" s="416"/>
      <c r="FO218" s="417"/>
      <c r="FP218" s="412"/>
      <c r="FQ218" s="413"/>
      <c r="FR218" s="414"/>
      <c r="FS218" s="414"/>
      <c r="FT218" s="414"/>
      <c r="FU218" s="415"/>
      <c r="FV218" s="416"/>
      <c r="FW218" s="417"/>
      <c r="FX218" s="412"/>
      <c r="FY218" s="413"/>
      <c r="FZ218" s="414"/>
      <c r="GA218" s="414"/>
      <c r="GB218" s="414"/>
      <c r="GC218" s="415"/>
      <c r="GD218" s="416"/>
      <c r="GE218" s="417"/>
      <c r="GF218" s="412"/>
      <c r="GG218" s="413"/>
      <c r="GH218" s="414"/>
      <c r="GI218" s="414"/>
      <c r="GJ218" s="414"/>
      <c r="GK218" s="415"/>
      <c r="GL218" s="416"/>
      <c r="GM218" s="417"/>
      <c r="GN218" s="412"/>
      <c r="GO218" s="413"/>
      <c r="GP218" s="414"/>
      <c r="GQ218" s="414"/>
      <c r="GR218" s="414"/>
      <c r="GS218" s="415"/>
      <c r="GT218" s="416"/>
      <c r="GU218" s="417"/>
      <c r="GV218" s="412"/>
      <c r="GW218" s="413"/>
      <c r="GX218" s="414"/>
      <c r="GY218" s="414"/>
      <c r="GZ218" s="414"/>
      <c r="HA218" s="415"/>
      <c r="HB218" s="416"/>
      <c r="HC218" s="417"/>
      <c r="HD218" s="412"/>
      <c r="HE218" s="413"/>
      <c r="HF218" s="414"/>
      <c r="HG218" s="414"/>
      <c r="HH218" s="414"/>
      <c r="HI218" s="415"/>
      <c r="HJ218" s="416"/>
      <c r="HK218" s="417"/>
      <c r="HL218" s="412"/>
      <c r="HM218" s="413"/>
      <c r="HN218" s="414"/>
      <c r="HO218" s="414"/>
      <c r="HP218" s="414"/>
      <c r="HQ218" s="415"/>
      <c r="HR218" s="416"/>
      <c r="HS218" s="417"/>
      <c r="HT218" s="412"/>
      <c r="HU218" s="413"/>
      <c r="HV218" s="414"/>
      <c r="HW218" s="414"/>
      <c r="HX218" s="414"/>
      <c r="HY218" s="415"/>
      <c r="HZ218" s="416"/>
      <c r="IA218" s="417"/>
      <c r="IB218" s="412"/>
      <c r="IC218" s="413"/>
      <c r="ID218" s="414"/>
      <c r="IE218" s="414"/>
      <c r="IF218" s="414"/>
      <c r="IG218" s="415"/>
      <c r="IH218" s="416"/>
      <c r="II218" s="417"/>
      <c r="IJ218" s="412"/>
      <c r="IK218" s="413"/>
      <c r="IL218" s="414"/>
      <c r="IM218" s="414"/>
      <c r="IN218" s="414"/>
      <c r="IO218" s="415"/>
      <c r="IP218" s="416"/>
      <c r="IQ218" s="417"/>
      <c r="IR218" s="412"/>
      <c r="IS218" s="413"/>
      <c r="IT218" s="414"/>
      <c r="IU218" s="414"/>
      <c r="IV218" s="414"/>
    </row>
    <row r="219" spans="1:256" ht="6.75" customHeight="1">
      <c r="A219" s="589"/>
      <c r="B219" s="590"/>
      <c r="C219" s="407"/>
      <c r="D219" s="407"/>
      <c r="E219" s="407"/>
      <c r="F219" s="407"/>
      <c r="G219" s="407"/>
      <c r="H219" s="407"/>
      <c r="I219" s="467"/>
      <c r="J219" s="458"/>
      <c r="K219" s="458"/>
      <c r="L219" s="459"/>
      <c r="M219" s="457"/>
      <c r="N219" s="457"/>
      <c r="O219" s="457"/>
      <c r="P219" s="457"/>
      <c r="Q219" s="419" t="s">
        <v>159</v>
      </c>
      <c r="R219" s="419"/>
      <c r="S219" s="420"/>
      <c r="T219" s="421"/>
      <c r="U219" s="413"/>
      <c r="V219" s="414"/>
      <c r="W219" s="414"/>
      <c r="X219" s="414"/>
      <c r="Y219" s="418" t="s">
        <v>159</v>
      </c>
      <c r="Z219" s="419"/>
      <c r="AA219" s="420"/>
      <c r="AB219" s="421"/>
      <c r="AC219" s="413"/>
      <c r="AD219" s="414"/>
      <c r="AE219" s="414"/>
      <c r="AF219" s="414"/>
      <c r="AG219" s="418" t="s">
        <v>159</v>
      </c>
      <c r="AH219" s="419"/>
      <c r="AI219" s="420"/>
      <c r="AJ219" s="421"/>
      <c r="AK219" s="413"/>
      <c r="AL219" s="414"/>
      <c r="AM219" s="414"/>
      <c r="AN219" s="414"/>
      <c r="AO219" s="418" t="s">
        <v>159</v>
      </c>
      <c r="AP219" s="419"/>
      <c r="AQ219" s="420"/>
      <c r="AR219" s="421"/>
      <c r="AS219" s="413"/>
      <c r="AT219" s="414"/>
      <c r="AU219" s="414"/>
      <c r="AV219" s="414"/>
      <c r="AW219" s="418" t="s">
        <v>159</v>
      </c>
      <c r="AX219" s="419"/>
      <c r="AY219" s="420"/>
      <c r="AZ219" s="421"/>
      <c r="BA219" s="413"/>
      <c r="BB219" s="414"/>
      <c r="BC219" s="414"/>
      <c r="BD219" s="414"/>
      <c r="BE219" s="418" t="s">
        <v>159</v>
      </c>
      <c r="BF219" s="419"/>
      <c r="BG219" s="420"/>
      <c r="BH219" s="421"/>
      <c r="BI219" s="413"/>
      <c r="BJ219" s="414"/>
      <c r="BK219" s="414"/>
      <c r="BL219" s="414"/>
      <c r="BM219" s="418" t="s">
        <v>159</v>
      </c>
      <c r="BN219" s="419"/>
      <c r="BO219" s="420"/>
      <c r="BP219" s="421"/>
      <c r="BQ219" s="413"/>
      <c r="BR219" s="414"/>
      <c r="BS219" s="414"/>
      <c r="BT219" s="414"/>
      <c r="BU219" s="418" t="s">
        <v>159</v>
      </c>
      <c r="BV219" s="419"/>
      <c r="BW219" s="420"/>
      <c r="BX219" s="421"/>
      <c r="BY219" s="413"/>
      <c r="BZ219" s="414"/>
      <c r="CA219" s="414"/>
      <c r="CB219" s="414"/>
      <c r="CC219" s="418" t="s">
        <v>159</v>
      </c>
      <c r="CD219" s="419"/>
      <c r="CE219" s="420"/>
      <c r="CF219" s="421"/>
      <c r="CG219" s="413"/>
      <c r="CH219" s="414"/>
      <c r="CI219" s="414"/>
      <c r="CJ219" s="414"/>
      <c r="CK219" s="418" t="s">
        <v>159</v>
      </c>
      <c r="CL219" s="419"/>
      <c r="CM219" s="420"/>
      <c r="CN219" s="421"/>
      <c r="CO219" s="413"/>
      <c r="CP219" s="414"/>
      <c r="CQ219" s="414"/>
      <c r="CR219" s="414"/>
      <c r="CS219" s="418" t="s">
        <v>159</v>
      </c>
      <c r="CT219" s="419"/>
      <c r="CU219" s="420"/>
      <c r="CV219" s="421"/>
      <c r="CW219" s="413"/>
      <c r="CX219" s="414"/>
      <c r="CY219" s="414"/>
      <c r="CZ219" s="414"/>
      <c r="DA219" s="418" t="s">
        <v>159</v>
      </c>
      <c r="DB219" s="419"/>
      <c r="DC219" s="420"/>
      <c r="DD219" s="421"/>
      <c r="DE219" s="413"/>
      <c r="DF219" s="414"/>
      <c r="DG219" s="414"/>
      <c r="DH219" s="414"/>
      <c r="DI219" s="418" t="s">
        <v>159</v>
      </c>
      <c r="DJ219" s="419"/>
      <c r="DK219" s="420"/>
      <c r="DL219" s="421"/>
      <c r="DM219" s="413"/>
      <c r="DN219" s="414"/>
      <c r="DO219" s="414"/>
      <c r="DP219" s="414"/>
      <c r="DQ219" s="418" t="s">
        <v>159</v>
      </c>
      <c r="DR219" s="419"/>
      <c r="DS219" s="420"/>
      <c r="DT219" s="421"/>
      <c r="DU219" s="413"/>
      <c r="DV219" s="414"/>
      <c r="DW219" s="414"/>
      <c r="DX219" s="414"/>
      <c r="DY219" s="418" t="s">
        <v>159</v>
      </c>
      <c r="DZ219" s="419"/>
      <c r="EA219" s="420"/>
      <c r="EB219" s="421"/>
      <c r="EC219" s="413"/>
      <c r="ED219" s="414"/>
      <c r="EE219" s="414"/>
      <c r="EF219" s="414"/>
      <c r="EG219" s="418" t="s">
        <v>159</v>
      </c>
      <c r="EH219" s="419"/>
      <c r="EI219" s="420"/>
      <c r="EJ219" s="421"/>
      <c r="EK219" s="413"/>
      <c r="EL219" s="414"/>
      <c r="EM219" s="414"/>
      <c r="EN219" s="414"/>
      <c r="EO219" s="418" t="s">
        <v>159</v>
      </c>
      <c r="EP219" s="419"/>
      <c r="EQ219" s="420"/>
      <c r="ER219" s="421"/>
      <c r="ES219" s="413"/>
      <c r="ET219" s="414"/>
      <c r="EU219" s="414"/>
      <c r="EV219" s="414"/>
      <c r="EW219" s="418" t="s">
        <v>159</v>
      </c>
      <c r="EX219" s="419"/>
      <c r="EY219" s="420"/>
      <c r="EZ219" s="421"/>
      <c r="FA219" s="413"/>
      <c r="FB219" s="414"/>
      <c r="FC219" s="414"/>
      <c r="FD219" s="414"/>
      <c r="FE219" s="418" t="s">
        <v>159</v>
      </c>
      <c r="FF219" s="419"/>
      <c r="FG219" s="420"/>
      <c r="FH219" s="421"/>
      <c r="FI219" s="413"/>
      <c r="FJ219" s="414"/>
      <c r="FK219" s="414"/>
      <c r="FL219" s="414"/>
      <c r="FM219" s="418" t="s">
        <v>159</v>
      </c>
      <c r="FN219" s="419"/>
      <c r="FO219" s="420"/>
      <c r="FP219" s="421"/>
      <c r="FQ219" s="413"/>
      <c r="FR219" s="414"/>
      <c r="FS219" s="414"/>
      <c r="FT219" s="414"/>
      <c r="FU219" s="418" t="s">
        <v>159</v>
      </c>
      <c r="FV219" s="419"/>
      <c r="FW219" s="420"/>
      <c r="FX219" s="421"/>
      <c r="FY219" s="413"/>
      <c r="FZ219" s="414"/>
      <c r="GA219" s="414"/>
      <c r="GB219" s="414"/>
      <c r="GC219" s="418" t="s">
        <v>159</v>
      </c>
      <c r="GD219" s="419"/>
      <c r="GE219" s="420"/>
      <c r="GF219" s="421"/>
      <c r="GG219" s="413"/>
      <c r="GH219" s="414"/>
      <c r="GI219" s="414"/>
      <c r="GJ219" s="414"/>
      <c r="GK219" s="418" t="s">
        <v>159</v>
      </c>
      <c r="GL219" s="419"/>
      <c r="GM219" s="420"/>
      <c r="GN219" s="421"/>
      <c r="GO219" s="413"/>
      <c r="GP219" s="414"/>
      <c r="GQ219" s="414"/>
      <c r="GR219" s="414"/>
      <c r="GS219" s="418" t="s">
        <v>159</v>
      </c>
      <c r="GT219" s="419"/>
      <c r="GU219" s="420"/>
      <c r="GV219" s="421"/>
      <c r="GW219" s="413"/>
      <c r="GX219" s="414"/>
      <c r="GY219" s="414"/>
      <c r="GZ219" s="414"/>
      <c r="HA219" s="418" t="s">
        <v>159</v>
      </c>
      <c r="HB219" s="419"/>
      <c r="HC219" s="420"/>
      <c r="HD219" s="421"/>
      <c r="HE219" s="413"/>
      <c r="HF219" s="414"/>
      <c r="HG219" s="414"/>
      <c r="HH219" s="414"/>
      <c r="HI219" s="418" t="s">
        <v>159</v>
      </c>
      <c r="HJ219" s="419"/>
      <c r="HK219" s="420"/>
      <c r="HL219" s="421"/>
      <c r="HM219" s="413"/>
      <c r="HN219" s="414"/>
      <c r="HO219" s="414"/>
      <c r="HP219" s="414"/>
      <c r="HQ219" s="418" t="s">
        <v>159</v>
      </c>
      <c r="HR219" s="419"/>
      <c r="HS219" s="420"/>
      <c r="HT219" s="421"/>
      <c r="HU219" s="413"/>
      <c r="HV219" s="414"/>
      <c r="HW219" s="414"/>
      <c r="HX219" s="414"/>
      <c r="HY219" s="418" t="s">
        <v>159</v>
      </c>
      <c r="HZ219" s="419"/>
      <c r="IA219" s="420"/>
      <c r="IB219" s="421"/>
      <c r="IC219" s="413"/>
      <c r="ID219" s="414"/>
      <c r="IE219" s="414"/>
      <c r="IF219" s="414"/>
      <c r="IG219" s="418" t="s">
        <v>159</v>
      </c>
      <c r="IH219" s="419"/>
      <c r="II219" s="420"/>
      <c r="IJ219" s="421"/>
      <c r="IK219" s="413"/>
      <c r="IL219" s="414"/>
      <c r="IM219" s="414"/>
      <c r="IN219" s="414"/>
      <c r="IO219" s="418" t="s">
        <v>159</v>
      </c>
      <c r="IP219" s="419"/>
      <c r="IQ219" s="420"/>
      <c r="IR219" s="421"/>
      <c r="IS219" s="413"/>
      <c r="IT219" s="414"/>
      <c r="IU219" s="414"/>
      <c r="IV219" s="414"/>
    </row>
    <row r="220" spans="1:256" ht="12.75">
      <c r="A220" s="355" t="s">
        <v>247</v>
      </c>
      <c r="B220" s="355"/>
      <c r="C220" s="353" t="s">
        <v>190</v>
      </c>
      <c r="D220" s="353"/>
      <c r="E220" s="1160">
        <v>0</v>
      </c>
      <c r="F220" s="1160"/>
      <c r="G220" s="591">
        <v>0</v>
      </c>
      <c r="H220" s="1157"/>
      <c r="I220" s="1158"/>
      <c r="J220" s="455"/>
      <c r="K220" s="455"/>
      <c r="L220" s="459"/>
      <c r="M220" s="457"/>
      <c r="N220" s="457"/>
      <c r="O220" s="457"/>
      <c r="P220" s="457"/>
      <c r="Q220" s="417"/>
      <c r="R220" s="411"/>
      <c r="S220" s="411"/>
      <c r="T220" s="421"/>
      <c r="U220" s="413"/>
      <c r="V220" s="414"/>
      <c r="W220" s="414"/>
      <c r="X220" s="414"/>
      <c r="Y220" s="411"/>
      <c r="Z220" s="411"/>
      <c r="AA220" s="411"/>
      <c r="AB220" s="421"/>
      <c r="AC220" s="413"/>
      <c r="AD220" s="414"/>
      <c r="AE220" s="414"/>
      <c r="AF220" s="414"/>
      <c r="AG220" s="411"/>
      <c r="AH220" s="411"/>
      <c r="AI220" s="411"/>
      <c r="AJ220" s="421"/>
      <c r="AK220" s="413"/>
      <c r="AL220" s="414"/>
      <c r="AM220" s="414"/>
      <c r="AN220" s="414"/>
      <c r="AO220" s="411"/>
      <c r="AP220" s="411"/>
      <c r="AQ220" s="411"/>
      <c r="AR220" s="421"/>
      <c r="AS220" s="413"/>
      <c r="AT220" s="414"/>
      <c r="AU220" s="414"/>
      <c r="AV220" s="414"/>
      <c r="AW220" s="411"/>
      <c r="AX220" s="411"/>
      <c r="AY220" s="411"/>
      <c r="AZ220" s="421"/>
      <c r="BA220" s="413"/>
      <c r="BB220" s="414"/>
      <c r="BC220" s="414"/>
      <c r="BD220" s="414"/>
      <c r="BE220" s="411"/>
      <c r="BF220" s="411"/>
      <c r="BG220" s="411"/>
      <c r="BH220" s="421"/>
      <c r="BI220" s="413"/>
      <c r="BJ220" s="414"/>
      <c r="BK220" s="414"/>
      <c r="BL220" s="414"/>
      <c r="BM220" s="411"/>
      <c r="BN220" s="411"/>
      <c r="BO220" s="411"/>
      <c r="BP220" s="421"/>
      <c r="BQ220" s="413"/>
      <c r="BR220" s="414"/>
      <c r="BS220" s="414"/>
      <c r="BT220" s="414"/>
      <c r="BU220" s="411"/>
      <c r="BV220" s="411"/>
      <c r="BW220" s="411"/>
      <c r="BX220" s="421"/>
      <c r="BY220" s="413"/>
      <c r="BZ220" s="414"/>
      <c r="CA220" s="414"/>
      <c r="CB220" s="414"/>
      <c r="CC220" s="411"/>
      <c r="CD220" s="411"/>
      <c r="CE220" s="411"/>
      <c r="CF220" s="421"/>
      <c r="CG220" s="413"/>
      <c r="CH220" s="414"/>
      <c r="CI220" s="414"/>
      <c r="CJ220" s="414"/>
      <c r="CK220" s="411"/>
      <c r="CL220" s="411"/>
      <c r="CM220" s="411"/>
      <c r="CN220" s="421"/>
      <c r="CO220" s="413"/>
      <c r="CP220" s="414"/>
      <c r="CQ220" s="414"/>
      <c r="CR220" s="414"/>
      <c r="CS220" s="411"/>
      <c r="CT220" s="411"/>
      <c r="CU220" s="411"/>
      <c r="CV220" s="421"/>
      <c r="CW220" s="413"/>
      <c r="CX220" s="414"/>
      <c r="CY220" s="414"/>
      <c r="CZ220" s="414"/>
      <c r="DA220" s="411"/>
      <c r="DB220" s="411"/>
      <c r="DC220" s="411"/>
      <c r="DD220" s="421"/>
      <c r="DE220" s="413"/>
      <c r="DF220" s="414"/>
      <c r="DG220" s="414"/>
      <c r="DH220" s="414"/>
      <c r="DI220" s="411"/>
      <c r="DJ220" s="411"/>
      <c r="DK220" s="411"/>
      <c r="DL220" s="421"/>
      <c r="DM220" s="413"/>
      <c r="DN220" s="414"/>
      <c r="DO220" s="414"/>
      <c r="DP220" s="414"/>
      <c r="DQ220" s="411"/>
      <c r="DR220" s="411"/>
      <c r="DS220" s="411"/>
      <c r="DT220" s="421"/>
      <c r="DU220" s="413"/>
      <c r="DV220" s="414"/>
      <c r="DW220" s="414"/>
      <c r="DX220" s="414"/>
      <c r="DY220" s="411"/>
      <c r="DZ220" s="411"/>
      <c r="EA220" s="411"/>
      <c r="EB220" s="421"/>
      <c r="EC220" s="413"/>
      <c r="ED220" s="414"/>
      <c r="EE220" s="414"/>
      <c r="EF220" s="414"/>
      <c r="EG220" s="411"/>
      <c r="EH220" s="411"/>
      <c r="EI220" s="411"/>
      <c r="EJ220" s="421"/>
      <c r="EK220" s="413"/>
      <c r="EL220" s="414"/>
      <c r="EM220" s="414"/>
      <c r="EN220" s="414"/>
      <c r="EO220" s="411"/>
      <c r="EP220" s="411"/>
      <c r="EQ220" s="411"/>
      <c r="ER220" s="421"/>
      <c r="ES220" s="413"/>
      <c r="ET220" s="414"/>
      <c r="EU220" s="414"/>
      <c r="EV220" s="414"/>
      <c r="EW220" s="411"/>
      <c r="EX220" s="411"/>
      <c r="EY220" s="411"/>
      <c r="EZ220" s="421"/>
      <c r="FA220" s="413"/>
      <c r="FB220" s="414"/>
      <c r="FC220" s="414"/>
      <c r="FD220" s="414"/>
      <c r="FE220" s="411"/>
      <c r="FF220" s="411"/>
      <c r="FG220" s="411"/>
      <c r="FH220" s="421"/>
      <c r="FI220" s="413"/>
      <c r="FJ220" s="414"/>
      <c r="FK220" s="414"/>
      <c r="FL220" s="414"/>
      <c r="FM220" s="411"/>
      <c r="FN220" s="411"/>
      <c r="FO220" s="411"/>
      <c r="FP220" s="421"/>
      <c r="FQ220" s="413"/>
      <c r="FR220" s="414"/>
      <c r="FS220" s="414"/>
      <c r="FT220" s="414"/>
      <c r="FU220" s="411"/>
      <c r="FV220" s="411"/>
      <c r="FW220" s="411"/>
      <c r="FX220" s="421"/>
      <c r="FY220" s="413"/>
      <c r="FZ220" s="414"/>
      <c r="GA220" s="414"/>
      <c r="GB220" s="414"/>
      <c r="GC220" s="411"/>
      <c r="GD220" s="411"/>
      <c r="GE220" s="411"/>
      <c r="GF220" s="421"/>
      <c r="GG220" s="413"/>
      <c r="GH220" s="414"/>
      <c r="GI220" s="414"/>
      <c r="GJ220" s="414"/>
      <c r="GK220" s="411"/>
      <c r="GL220" s="411"/>
      <c r="GM220" s="411"/>
      <c r="GN220" s="421"/>
      <c r="GO220" s="413"/>
      <c r="GP220" s="414"/>
      <c r="GQ220" s="414"/>
      <c r="GR220" s="414"/>
      <c r="GS220" s="411"/>
      <c r="GT220" s="411"/>
      <c r="GU220" s="411"/>
      <c r="GV220" s="421"/>
      <c r="GW220" s="413"/>
      <c r="GX220" s="414"/>
      <c r="GY220" s="414"/>
      <c r="GZ220" s="414"/>
      <c r="HA220" s="411"/>
      <c r="HB220" s="411"/>
      <c r="HC220" s="411"/>
      <c r="HD220" s="421"/>
      <c r="HE220" s="413"/>
      <c r="HF220" s="414"/>
      <c r="HG220" s="414"/>
      <c r="HH220" s="414"/>
      <c r="HI220" s="411"/>
      <c r="HJ220" s="411"/>
      <c r="HK220" s="411"/>
      <c r="HL220" s="421"/>
      <c r="HM220" s="413"/>
      <c r="HN220" s="414"/>
      <c r="HO220" s="414"/>
      <c r="HP220" s="414"/>
      <c r="HQ220" s="411"/>
      <c r="HR220" s="411"/>
      <c r="HS220" s="411"/>
      <c r="HT220" s="421"/>
      <c r="HU220" s="413"/>
      <c r="HV220" s="414"/>
      <c r="HW220" s="414"/>
      <c r="HX220" s="414"/>
      <c r="HY220" s="411"/>
      <c r="HZ220" s="411"/>
      <c r="IA220" s="411"/>
      <c r="IB220" s="421"/>
      <c r="IC220" s="413"/>
      <c r="ID220" s="414"/>
      <c r="IE220" s="414"/>
      <c r="IF220" s="414"/>
      <c r="IG220" s="411"/>
      <c r="IH220" s="411"/>
      <c r="II220" s="411"/>
      <c r="IJ220" s="421"/>
      <c r="IK220" s="413"/>
      <c r="IL220" s="414"/>
      <c r="IM220" s="414"/>
      <c r="IN220" s="414"/>
      <c r="IO220" s="411"/>
      <c r="IP220" s="411"/>
      <c r="IQ220" s="411"/>
      <c r="IR220" s="421"/>
      <c r="IS220" s="413"/>
      <c r="IT220" s="414"/>
      <c r="IU220" s="414"/>
      <c r="IV220" s="414"/>
    </row>
    <row r="221" spans="1:256" ht="12.75">
      <c r="A221" s="368" t="s">
        <v>234</v>
      </c>
      <c r="B221" s="368"/>
      <c r="C221" s="356" t="s">
        <v>191</v>
      </c>
      <c r="D221" s="356"/>
      <c r="E221" s="357">
        <v>0</v>
      </c>
      <c r="F221" s="1164"/>
      <c r="G221" s="591">
        <v>0</v>
      </c>
      <c r="H221" s="592"/>
      <c r="I221" s="1158"/>
      <c r="J221" s="455"/>
      <c r="K221" s="455"/>
      <c r="L221" s="459"/>
      <c r="M221" s="457"/>
      <c r="N221" s="457"/>
      <c r="O221" s="457"/>
      <c r="P221" s="457"/>
      <c r="Q221" s="417"/>
      <c r="R221" s="411"/>
      <c r="S221" s="411"/>
      <c r="T221" s="421"/>
      <c r="U221" s="413"/>
      <c r="V221" s="414"/>
      <c r="W221" s="414"/>
      <c r="X221" s="414"/>
      <c r="Y221" s="411"/>
      <c r="Z221" s="411"/>
      <c r="AA221" s="411"/>
      <c r="AB221" s="421"/>
      <c r="AC221" s="413"/>
      <c r="AD221" s="414"/>
      <c r="AE221" s="414"/>
      <c r="AF221" s="414"/>
      <c r="AG221" s="411"/>
      <c r="AH221" s="411"/>
      <c r="AI221" s="411"/>
      <c r="AJ221" s="421"/>
      <c r="AK221" s="413"/>
      <c r="AL221" s="414"/>
      <c r="AM221" s="414"/>
      <c r="AN221" s="414"/>
      <c r="AO221" s="411"/>
      <c r="AP221" s="411"/>
      <c r="AQ221" s="411"/>
      <c r="AR221" s="421"/>
      <c r="AS221" s="413"/>
      <c r="AT221" s="414"/>
      <c r="AU221" s="414"/>
      <c r="AV221" s="414"/>
      <c r="AW221" s="411"/>
      <c r="AX221" s="411"/>
      <c r="AY221" s="411"/>
      <c r="AZ221" s="421"/>
      <c r="BA221" s="413"/>
      <c r="BB221" s="414"/>
      <c r="BC221" s="414"/>
      <c r="BD221" s="414"/>
      <c r="BE221" s="411"/>
      <c r="BF221" s="411"/>
      <c r="BG221" s="411"/>
      <c r="BH221" s="421"/>
      <c r="BI221" s="413"/>
      <c r="BJ221" s="414"/>
      <c r="BK221" s="414"/>
      <c r="BL221" s="414"/>
      <c r="BM221" s="411"/>
      <c r="BN221" s="411"/>
      <c r="BO221" s="411"/>
      <c r="BP221" s="421"/>
      <c r="BQ221" s="413"/>
      <c r="BR221" s="414"/>
      <c r="BS221" s="414"/>
      <c r="BT221" s="414"/>
      <c r="BU221" s="411"/>
      <c r="BV221" s="411"/>
      <c r="BW221" s="411"/>
      <c r="BX221" s="421"/>
      <c r="BY221" s="413"/>
      <c r="BZ221" s="414"/>
      <c r="CA221" s="414"/>
      <c r="CB221" s="414"/>
      <c r="CC221" s="411"/>
      <c r="CD221" s="411"/>
      <c r="CE221" s="411"/>
      <c r="CF221" s="421"/>
      <c r="CG221" s="413"/>
      <c r="CH221" s="414"/>
      <c r="CI221" s="414"/>
      <c r="CJ221" s="414"/>
      <c r="CK221" s="411"/>
      <c r="CL221" s="411"/>
      <c r="CM221" s="411"/>
      <c r="CN221" s="421"/>
      <c r="CO221" s="413"/>
      <c r="CP221" s="414"/>
      <c r="CQ221" s="414"/>
      <c r="CR221" s="414"/>
      <c r="CS221" s="411"/>
      <c r="CT221" s="411"/>
      <c r="CU221" s="411"/>
      <c r="CV221" s="421"/>
      <c r="CW221" s="413"/>
      <c r="CX221" s="414"/>
      <c r="CY221" s="414"/>
      <c r="CZ221" s="414"/>
      <c r="DA221" s="411"/>
      <c r="DB221" s="411"/>
      <c r="DC221" s="411"/>
      <c r="DD221" s="421"/>
      <c r="DE221" s="413"/>
      <c r="DF221" s="414"/>
      <c r="DG221" s="414"/>
      <c r="DH221" s="414"/>
      <c r="DI221" s="411"/>
      <c r="DJ221" s="411"/>
      <c r="DK221" s="411"/>
      <c r="DL221" s="421"/>
      <c r="DM221" s="413"/>
      <c r="DN221" s="414"/>
      <c r="DO221" s="414"/>
      <c r="DP221" s="414"/>
      <c r="DQ221" s="411"/>
      <c r="DR221" s="411"/>
      <c r="DS221" s="411"/>
      <c r="DT221" s="421"/>
      <c r="DU221" s="413"/>
      <c r="DV221" s="414"/>
      <c r="DW221" s="414"/>
      <c r="DX221" s="414"/>
      <c r="DY221" s="411"/>
      <c r="DZ221" s="411"/>
      <c r="EA221" s="411"/>
      <c r="EB221" s="421"/>
      <c r="EC221" s="413"/>
      <c r="ED221" s="414"/>
      <c r="EE221" s="414"/>
      <c r="EF221" s="414"/>
      <c r="EG221" s="411"/>
      <c r="EH221" s="411"/>
      <c r="EI221" s="411"/>
      <c r="EJ221" s="421"/>
      <c r="EK221" s="413"/>
      <c r="EL221" s="414"/>
      <c r="EM221" s="414"/>
      <c r="EN221" s="414"/>
      <c r="EO221" s="411"/>
      <c r="EP221" s="411"/>
      <c r="EQ221" s="411"/>
      <c r="ER221" s="421"/>
      <c r="ES221" s="413"/>
      <c r="ET221" s="414"/>
      <c r="EU221" s="414"/>
      <c r="EV221" s="414"/>
      <c r="EW221" s="411"/>
      <c r="EX221" s="411"/>
      <c r="EY221" s="411"/>
      <c r="EZ221" s="421"/>
      <c r="FA221" s="413"/>
      <c r="FB221" s="414"/>
      <c r="FC221" s="414"/>
      <c r="FD221" s="414"/>
      <c r="FE221" s="411"/>
      <c r="FF221" s="411"/>
      <c r="FG221" s="411"/>
      <c r="FH221" s="421"/>
      <c r="FI221" s="413"/>
      <c r="FJ221" s="414"/>
      <c r="FK221" s="414"/>
      <c r="FL221" s="414"/>
      <c r="FM221" s="411"/>
      <c r="FN221" s="411"/>
      <c r="FO221" s="411"/>
      <c r="FP221" s="421"/>
      <c r="FQ221" s="413"/>
      <c r="FR221" s="414"/>
      <c r="FS221" s="414"/>
      <c r="FT221" s="414"/>
      <c r="FU221" s="411"/>
      <c r="FV221" s="411"/>
      <c r="FW221" s="411"/>
      <c r="FX221" s="421"/>
      <c r="FY221" s="413"/>
      <c r="FZ221" s="414"/>
      <c r="GA221" s="414"/>
      <c r="GB221" s="414"/>
      <c r="GC221" s="411"/>
      <c r="GD221" s="411"/>
      <c r="GE221" s="411"/>
      <c r="GF221" s="421"/>
      <c r="GG221" s="413"/>
      <c r="GH221" s="414"/>
      <c r="GI221" s="414"/>
      <c r="GJ221" s="414"/>
      <c r="GK221" s="411"/>
      <c r="GL221" s="411"/>
      <c r="GM221" s="411"/>
      <c r="GN221" s="421"/>
      <c r="GO221" s="413"/>
      <c r="GP221" s="414"/>
      <c r="GQ221" s="414"/>
      <c r="GR221" s="414"/>
      <c r="GS221" s="411"/>
      <c r="GT221" s="411"/>
      <c r="GU221" s="411"/>
      <c r="GV221" s="421"/>
      <c r="GW221" s="413"/>
      <c r="GX221" s="414"/>
      <c r="GY221" s="414"/>
      <c r="GZ221" s="414"/>
      <c r="HA221" s="411"/>
      <c r="HB221" s="411"/>
      <c r="HC221" s="411"/>
      <c r="HD221" s="421"/>
      <c r="HE221" s="413"/>
      <c r="HF221" s="414"/>
      <c r="HG221" s="414"/>
      <c r="HH221" s="414"/>
      <c r="HI221" s="411"/>
      <c r="HJ221" s="411"/>
      <c r="HK221" s="411"/>
      <c r="HL221" s="421"/>
      <c r="HM221" s="413"/>
      <c r="HN221" s="414"/>
      <c r="HO221" s="414"/>
      <c r="HP221" s="414"/>
      <c r="HQ221" s="411"/>
      <c r="HR221" s="411"/>
      <c r="HS221" s="411"/>
      <c r="HT221" s="421"/>
      <c r="HU221" s="413"/>
      <c r="HV221" s="414"/>
      <c r="HW221" s="414"/>
      <c r="HX221" s="414"/>
      <c r="HY221" s="411"/>
      <c r="HZ221" s="411"/>
      <c r="IA221" s="411"/>
      <c r="IB221" s="421"/>
      <c r="IC221" s="413"/>
      <c r="ID221" s="414"/>
      <c r="IE221" s="414"/>
      <c r="IF221" s="414"/>
      <c r="IG221" s="411"/>
      <c r="IH221" s="411"/>
      <c r="II221" s="411"/>
      <c r="IJ221" s="421"/>
      <c r="IK221" s="413"/>
      <c r="IL221" s="414"/>
      <c r="IM221" s="414"/>
      <c r="IN221" s="414"/>
      <c r="IO221" s="411"/>
      <c r="IP221" s="411"/>
      <c r="IQ221" s="411"/>
      <c r="IR221" s="421"/>
      <c r="IS221" s="413"/>
      <c r="IT221" s="414"/>
      <c r="IU221" s="414"/>
      <c r="IV221" s="414"/>
    </row>
    <row r="222" spans="1:256" ht="12.75">
      <c r="A222" s="362" t="s">
        <v>134</v>
      </c>
      <c r="B222" s="363"/>
      <c r="C222" s="364"/>
      <c r="D222" s="364"/>
      <c r="E222" s="364"/>
      <c r="F222" s="365"/>
      <c r="G222" s="357">
        <f>SUM(G220+G221)</f>
        <v>0</v>
      </c>
      <c r="H222" s="358"/>
      <c r="I222" s="340"/>
      <c r="J222" s="455"/>
      <c r="K222" s="455"/>
      <c r="L222" s="459"/>
      <c r="M222" s="457"/>
      <c r="N222" s="457"/>
      <c r="O222" s="457"/>
      <c r="P222" s="457"/>
      <c r="Q222" s="417"/>
      <c r="R222" s="411"/>
      <c r="S222" s="411"/>
      <c r="T222" s="421"/>
      <c r="U222" s="413"/>
      <c r="V222" s="414"/>
      <c r="W222" s="414"/>
      <c r="X222" s="414"/>
      <c r="Y222" s="411"/>
      <c r="Z222" s="411"/>
      <c r="AA222" s="411"/>
      <c r="AB222" s="421"/>
      <c r="AC222" s="413"/>
      <c r="AD222" s="414"/>
      <c r="AE222" s="414"/>
      <c r="AF222" s="414"/>
      <c r="AG222" s="411"/>
      <c r="AH222" s="411"/>
      <c r="AI222" s="411"/>
      <c r="AJ222" s="421"/>
      <c r="AK222" s="413"/>
      <c r="AL222" s="414"/>
      <c r="AM222" s="414"/>
      <c r="AN222" s="414"/>
      <c r="AO222" s="411"/>
      <c r="AP222" s="411"/>
      <c r="AQ222" s="411"/>
      <c r="AR222" s="421"/>
      <c r="AS222" s="413"/>
      <c r="AT222" s="414"/>
      <c r="AU222" s="414"/>
      <c r="AV222" s="414"/>
      <c r="AW222" s="411"/>
      <c r="AX222" s="411"/>
      <c r="AY222" s="411"/>
      <c r="AZ222" s="421"/>
      <c r="BA222" s="413"/>
      <c r="BB222" s="414"/>
      <c r="BC222" s="414"/>
      <c r="BD222" s="414"/>
      <c r="BE222" s="411"/>
      <c r="BF222" s="411"/>
      <c r="BG222" s="411"/>
      <c r="BH222" s="421"/>
      <c r="BI222" s="413"/>
      <c r="BJ222" s="414"/>
      <c r="BK222" s="414"/>
      <c r="BL222" s="414"/>
      <c r="BM222" s="411"/>
      <c r="BN222" s="411"/>
      <c r="BO222" s="411"/>
      <c r="BP222" s="421"/>
      <c r="BQ222" s="413"/>
      <c r="BR222" s="414"/>
      <c r="BS222" s="414"/>
      <c r="BT222" s="414"/>
      <c r="BU222" s="411"/>
      <c r="BV222" s="411"/>
      <c r="BW222" s="411"/>
      <c r="BX222" s="421"/>
      <c r="BY222" s="413"/>
      <c r="BZ222" s="414"/>
      <c r="CA222" s="414"/>
      <c r="CB222" s="414"/>
      <c r="CC222" s="411"/>
      <c r="CD222" s="411"/>
      <c r="CE222" s="411"/>
      <c r="CF222" s="421"/>
      <c r="CG222" s="413"/>
      <c r="CH222" s="414"/>
      <c r="CI222" s="414"/>
      <c r="CJ222" s="414"/>
      <c r="CK222" s="411"/>
      <c r="CL222" s="411"/>
      <c r="CM222" s="411"/>
      <c r="CN222" s="421"/>
      <c r="CO222" s="413"/>
      <c r="CP222" s="414"/>
      <c r="CQ222" s="414"/>
      <c r="CR222" s="414"/>
      <c r="CS222" s="411"/>
      <c r="CT222" s="411"/>
      <c r="CU222" s="411"/>
      <c r="CV222" s="421"/>
      <c r="CW222" s="413"/>
      <c r="CX222" s="414"/>
      <c r="CY222" s="414"/>
      <c r="CZ222" s="414"/>
      <c r="DA222" s="411"/>
      <c r="DB222" s="411"/>
      <c r="DC222" s="411"/>
      <c r="DD222" s="421"/>
      <c r="DE222" s="413"/>
      <c r="DF222" s="414"/>
      <c r="DG222" s="414"/>
      <c r="DH222" s="414"/>
      <c r="DI222" s="411"/>
      <c r="DJ222" s="411"/>
      <c r="DK222" s="411"/>
      <c r="DL222" s="421"/>
      <c r="DM222" s="413"/>
      <c r="DN222" s="414"/>
      <c r="DO222" s="414"/>
      <c r="DP222" s="414"/>
      <c r="DQ222" s="411"/>
      <c r="DR222" s="411"/>
      <c r="DS222" s="411"/>
      <c r="DT222" s="421"/>
      <c r="DU222" s="413"/>
      <c r="DV222" s="414"/>
      <c r="DW222" s="414"/>
      <c r="DX222" s="414"/>
      <c r="DY222" s="411"/>
      <c r="DZ222" s="411"/>
      <c r="EA222" s="411"/>
      <c r="EB222" s="421"/>
      <c r="EC222" s="413"/>
      <c r="ED222" s="414"/>
      <c r="EE222" s="414"/>
      <c r="EF222" s="414"/>
      <c r="EG222" s="411"/>
      <c r="EH222" s="411"/>
      <c r="EI222" s="411"/>
      <c r="EJ222" s="421"/>
      <c r="EK222" s="413"/>
      <c r="EL222" s="414"/>
      <c r="EM222" s="414"/>
      <c r="EN222" s="414"/>
      <c r="EO222" s="411"/>
      <c r="EP222" s="411"/>
      <c r="EQ222" s="411"/>
      <c r="ER222" s="421"/>
      <c r="ES222" s="413"/>
      <c r="ET222" s="414"/>
      <c r="EU222" s="414"/>
      <c r="EV222" s="414"/>
      <c r="EW222" s="411"/>
      <c r="EX222" s="411"/>
      <c r="EY222" s="411"/>
      <c r="EZ222" s="421"/>
      <c r="FA222" s="413"/>
      <c r="FB222" s="414"/>
      <c r="FC222" s="414"/>
      <c r="FD222" s="414"/>
      <c r="FE222" s="411"/>
      <c r="FF222" s="411"/>
      <c r="FG222" s="411"/>
      <c r="FH222" s="421"/>
      <c r="FI222" s="413"/>
      <c r="FJ222" s="414"/>
      <c r="FK222" s="414"/>
      <c r="FL222" s="414"/>
      <c r="FM222" s="411"/>
      <c r="FN222" s="411"/>
      <c r="FO222" s="411"/>
      <c r="FP222" s="421"/>
      <c r="FQ222" s="413"/>
      <c r="FR222" s="414"/>
      <c r="FS222" s="414"/>
      <c r="FT222" s="414"/>
      <c r="FU222" s="411"/>
      <c r="FV222" s="411"/>
      <c r="FW222" s="411"/>
      <c r="FX222" s="421"/>
      <c r="FY222" s="413"/>
      <c r="FZ222" s="414"/>
      <c r="GA222" s="414"/>
      <c r="GB222" s="414"/>
      <c r="GC222" s="411"/>
      <c r="GD222" s="411"/>
      <c r="GE222" s="411"/>
      <c r="GF222" s="421"/>
      <c r="GG222" s="413"/>
      <c r="GH222" s="414"/>
      <c r="GI222" s="414"/>
      <c r="GJ222" s="414"/>
      <c r="GK222" s="411"/>
      <c r="GL222" s="411"/>
      <c r="GM222" s="411"/>
      <c r="GN222" s="421"/>
      <c r="GO222" s="413"/>
      <c r="GP222" s="414"/>
      <c r="GQ222" s="414"/>
      <c r="GR222" s="414"/>
      <c r="GS222" s="411"/>
      <c r="GT222" s="411"/>
      <c r="GU222" s="411"/>
      <c r="GV222" s="421"/>
      <c r="GW222" s="413"/>
      <c r="GX222" s="414"/>
      <c r="GY222" s="414"/>
      <c r="GZ222" s="414"/>
      <c r="HA222" s="411"/>
      <c r="HB222" s="411"/>
      <c r="HC222" s="411"/>
      <c r="HD222" s="421"/>
      <c r="HE222" s="413"/>
      <c r="HF222" s="414"/>
      <c r="HG222" s="414"/>
      <c r="HH222" s="414"/>
      <c r="HI222" s="411"/>
      <c r="HJ222" s="411"/>
      <c r="HK222" s="411"/>
      <c r="HL222" s="421"/>
      <c r="HM222" s="413"/>
      <c r="HN222" s="414"/>
      <c r="HO222" s="414"/>
      <c r="HP222" s="414"/>
      <c r="HQ222" s="411"/>
      <c r="HR222" s="411"/>
      <c r="HS222" s="411"/>
      <c r="HT222" s="421"/>
      <c r="HU222" s="413"/>
      <c r="HV222" s="414"/>
      <c r="HW222" s="414"/>
      <c r="HX222" s="414"/>
      <c r="HY222" s="411"/>
      <c r="HZ222" s="411"/>
      <c r="IA222" s="411"/>
      <c r="IB222" s="421"/>
      <c r="IC222" s="413"/>
      <c r="ID222" s="414"/>
      <c r="IE222" s="414"/>
      <c r="IF222" s="414"/>
      <c r="IG222" s="411"/>
      <c r="IH222" s="411"/>
      <c r="II222" s="411"/>
      <c r="IJ222" s="421"/>
      <c r="IK222" s="413"/>
      <c r="IL222" s="414"/>
      <c r="IM222" s="414"/>
      <c r="IN222" s="414"/>
      <c r="IO222" s="411"/>
      <c r="IP222" s="411"/>
      <c r="IQ222" s="411"/>
      <c r="IR222" s="421"/>
      <c r="IS222" s="413"/>
      <c r="IT222" s="414"/>
      <c r="IU222" s="414"/>
      <c r="IV222" s="414"/>
    </row>
    <row r="223" spans="1:256" ht="7.5" customHeight="1">
      <c r="A223" s="589"/>
      <c r="B223" s="590"/>
      <c r="C223" s="407"/>
      <c r="D223" s="407"/>
      <c r="E223" s="407"/>
      <c r="F223" s="407"/>
      <c r="G223" s="407"/>
      <c r="H223" s="407"/>
      <c r="I223" s="467"/>
      <c r="J223" s="455"/>
      <c r="K223" s="455"/>
      <c r="L223" s="459"/>
      <c r="M223" s="457"/>
      <c r="N223" s="457"/>
      <c r="O223" s="457"/>
      <c r="P223" s="457"/>
      <c r="Q223" s="417"/>
      <c r="R223" s="411"/>
      <c r="S223" s="411"/>
      <c r="T223" s="421"/>
      <c r="U223" s="413"/>
      <c r="V223" s="414"/>
      <c r="W223" s="414"/>
      <c r="X223" s="414"/>
      <c r="Y223" s="411"/>
      <c r="Z223" s="411"/>
      <c r="AA223" s="411"/>
      <c r="AB223" s="421"/>
      <c r="AC223" s="413"/>
      <c r="AD223" s="414"/>
      <c r="AE223" s="414"/>
      <c r="AF223" s="414"/>
      <c r="AG223" s="411"/>
      <c r="AH223" s="411"/>
      <c r="AI223" s="411"/>
      <c r="AJ223" s="421"/>
      <c r="AK223" s="413"/>
      <c r="AL223" s="414"/>
      <c r="AM223" s="414"/>
      <c r="AN223" s="414"/>
      <c r="AO223" s="411"/>
      <c r="AP223" s="411"/>
      <c r="AQ223" s="411"/>
      <c r="AR223" s="421"/>
      <c r="AS223" s="413"/>
      <c r="AT223" s="414"/>
      <c r="AU223" s="414"/>
      <c r="AV223" s="414"/>
      <c r="AW223" s="411"/>
      <c r="AX223" s="411"/>
      <c r="AY223" s="411"/>
      <c r="AZ223" s="421"/>
      <c r="BA223" s="413"/>
      <c r="BB223" s="414"/>
      <c r="BC223" s="414"/>
      <c r="BD223" s="414"/>
      <c r="BE223" s="411"/>
      <c r="BF223" s="411"/>
      <c r="BG223" s="411"/>
      <c r="BH223" s="421"/>
      <c r="BI223" s="413"/>
      <c r="BJ223" s="414"/>
      <c r="BK223" s="414"/>
      <c r="BL223" s="414"/>
      <c r="BM223" s="411"/>
      <c r="BN223" s="411"/>
      <c r="BO223" s="411"/>
      <c r="BP223" s="421"/>
      <c r="BQ223" s="413"/>
      <c r="BR223" s="414"/>
      <c r="BS223" s="414"/>
      <c r="BT223" s="414"/>
      <c r="BU223" s="411"/>
      <c r="BV223" s="411"/>
      <c r="BW223" s="411"/>
      <c r="BX223" s="421"/>
      <c r="BY223" s="413"/>
      <c r="BZ223" s="414"/>
      <c r="CA223" s="414"/>
      <c r="CB223" s="414"/>
      <c r="CC223" s="411"/>
      <c r="CD223" s="411"/>
      <c r="CE223" s="411"/>
      <c r="CF223" s="421"/>
      <c r="CG223" s="413"/>
      <c r="CH223" s="414"/>
      <c r="CI223" s="414"/>
      <c r="CJ223" s="414"/>
      <c r="CK223" s="411"/>
      <c r="CL223" s="411"/>
      <c r="CM223" s="411"/>
      <c r="CN223" s="421"/>
      <c r="CO223" s="413"/>
      <c r="CP223" s="414"/>
      <c r="CQ223" s="414"/>
      <c r="CR223" s="414"/>
      <c r="CS223" s="411"/>
      <c r="CT223" s="411"/>
      <c r="CU223" s="411"/>
      <c r="CV223" s="421"/>
      <c r="CW223" s="413"/>
      <c r="CX223" s="414"/>
      <c r="CY223" s="414"/>
      <c r="CZ223" s="414"/>
      <c r="DA223" s="411"/>
      <c r="DB223" s="411"/>
      <c r="DC223" s="411"/>
      <c r="DD223" s="421"/>
      <c r="DE223" s="413"/>
      <c r="DF223" s="414"/>
      <c r="DG223" s="414"/>
      <c r="DH223" s="414"/>
      <c r="DI223" s="411"/>
      <c r="DJ223" s="411"/>
      <c r="DK223" s="411"/>
      <c r="DL223" s="421"/>
      <c r="DM223" s="413"/>
      <c r="DN223" s="414"/>
      <c r="DO223" s="414"/>
      <c r="DP223" s="414"/>
      <c r="DQ223" s="411"/>
      <c r="DR223" s="411"/>
      <c r="DS223" s="411"/>
      <c r="DT223" s="421"/>
      <c r="DU223" s="413"/>
      <c r="DV223" s="414"/>
      <c r="DW223" s="414"/>
      <c r="DX223" s="414"/>
      <c r="DY223" s="411"/>
      <c r="DZ223" s="411"/>
      <c r="EA223" s="411"/>
      <c r="EB223" s="421"/>
      <c r="EC223" s="413"/>
      <c r="ED223" s="414"/>
      <c r="EE223" s="414"/>
      <c r="EF223" s="414"/>
      <c r="EG223" s="411"/>
      <c r="EH223" s="411"/>
      <c r="EI223" s="411"/>
      <c r="EJ223" s="421"/>
      <c r="EK223" s="413"/>
      <c r="EL223" s="414"/>
      <c r="EM223" s="414"/>
      <c r="EN223" s="414"/>
      <c r="EO223" s="411"/>
      <c r="EP223" s="411"/>
      <c r="EQ223" s="411"/>
      <c r="ER223" s="421"/>
      <c r="ES223" s="413"/>
      <c r="ET223" s="414"/>
      <c r="EU223" s="414"/>
      <c r="EV223" s="414"/>
      <c r="EW223" s="411"/>
      <c r="EX223" s="411"/>
      <c r="EY223" s="411"/>
      <c r="EZ223" s="421"/>
      <c r="FA223" s="413"/>
      <c r="FB223" s="414"/>
      <c r="FC223" s="414"/>
      <c r="FD223" s="414"/>
      <c r="FE223" s="411"/>
      <c r="FF223" s="411"/>
      <c r="FG223" s="411"/>
      <c r="FH223" s="421"/>
      <c r="FI223" s="413"/>
      <c r="FJ223" s="414"/>
      <c r="FK223" s="414"/>
      <c r="FL223" s="414"/>
      <c r="FM223" s="411"/>
      <c r="FN223" s="411"/>
      <c r="FO223" s="411"/>
      <c r="FP223" s="421"/>
      <c r="FQ223" s="413"/>
      <c r="FR223" s="414"/>
      <c r="FS223" s="414"/>
      <c r="FT223" s="414"/>
      <c r="FU223" s="411"/>
      <c r="FV223" s="411"/>
      <c r="FW223" s="411"/>
      <c r="FX223" s="421"/>
      <c r="FY223" s="413"/>
      <c r="FZ223" s="414"/>
      <c r="GA223" s="414"/>
      <c r="GB223" s="414"/>
      <c r="GC223" s="411"/>
      <c r="GD223" s="411"/>
      <c r="GE223" s="411"/>
      <c r="GF223" s="421"/>
      <c r="GG223" s="413"/>
      <c r="GH223" s="414"/>
      <c r="GI223" s="414"/>
      <c r="GJ223" s="414"/>
      <c r="GK223" s="411"/>
      <c r="GL223" s="411"/>
      <c r="GM223" s="411"/>
      <c r="GN223" s="421"/>
      <c r="GO223" s="413"/>
      <c r="GP223" s="414"/>
      <c r="GQ223" s="414"/>
      <c r="GR223" s="414"/>
      <c r="GS223" s="411"/>
      <c r="GT223" s="411"/>
      <c r="GU223" s="411"/>
      <c r="GV223" s="421"/>
      <c r="GW223" s="413"/>
      <c r="GX223" s="414"/>
      <c r="GY223" s="414"/>
      <c r="GZ223" s="414"/>
      <c r="HA223" s="411"/>
      <c r="HB223" s="411"/>
      <c r="HC223" s="411"/>
      <c r="HD223" s="421"/>
      <c r="HE223" s="413"/>
      <c r="HF223" s="414"/>
      <c r="HG223" s="414"/>
      <c r="HH223" s="414"/>
      <c r="HI223" s="411"/>
      <c r="HJ223" s="411"/>
      <c r="HK223" s="411"/>
      <c r="HL223" s="421"/>
      <c r="HM223" s="413"/>
      <c r="HN223" s="414"/>
      <c r="HO223" s="414"/>
      <c r="HP223" s="414"/>
      <c r="HQ223" s="411"/>
      <c r="HR223" s="411"/>
      <c r="HS223" s="411"/>
      <c r="HT223" s="421"/>
      <c r="HU223" s="413"/>
      <c r="HV223" s="414"/>
      <c r="HW223" s="414"/>
      <c r="HX223" s="414"/>
      <c r="HY223" s="411"/>
      <c r="HZ223" s="411"/>
      <c r="IA223" s="411"/>
      <c r="IB223" s="421"/>
      <c r="IC223" s="413"/>
      <c r="ID223" s="414"/>
      <c r="IE223" s="414"/>
      <c r="IF223" s="414"/>
      <c r="IG223" s="411"/>
      <c r="IH223" s="411"/>
      <c r="II223" s="411"/>
      <c r="IJ223" s="421"/>
      <c r="IK223" s="413"/>
      <c r="IL223" s="414"/>
      <c r="IM223" s="414"/>
      <c r="IN223" s="414"/>
      <c r="IO223" s="411"/>
      <c r="IP223" s="411"/>
      <c r="IQ223" s="411"/>
      <c r="IR223" s="421"/>
      <c r="IS223" s="413"/>
      <c r="IT223" s="414"/>
      <c r="IU223" s="414"/>
      <c r="IV223" s="414"/>
    </row>
    <row r="224" spans="1:256" ht="25.5" customHeight="1">
      <c r="A224" s="366" t="s">
        <v>248</v>
      </c>
      <c r="B224" s="367"/>
      <c r="C224" s="353" t="s">
        <v>192</v>
      </c>
      <c r="D224" s="353"/>
      <c r="E224" s="1160">
        <v>0</v>
      </c>
      <c r="F224" s="1160"/>
      <c r="G224" s="591">
        <v>0</v>
      </c>
      <c r="H224" s="1157"/>
      <c r="I224" s="1158"/>
      <c r="J224" s="458"/>
      <c r="K224" s="458"/>
      <c r="L224" s="459"/>
      <c r="M224" s="457"/>
      <c r="N224" s="457"/>
      <c r="O224" s="457"/>
      <c r="P224" s="457"/>
      <c r="Q224" s="419" t="s">
        <v>159</v>
      </c>
      <c r="R224" s="419"/>
      <c r="S224" s="420"/>
      <c r="T224" s="421"/>
      <c r="U224" s="413"/>
      <c r="V224" s="414"/>
      <c r="W224" s="414"/>
      <c r="X224" s="414"/>
      <c r="Y224" s="418" t="s">
        <v>159</v>
      </c>
      <c r="Z224" s="419"/>
      <c r="AA224" s="420"/>
      <c r="AB224" s="421"/>
      <c r="AC224" s="413"/>
      <c r="AD224" s="414"/>
      <c r="AE224" s="414"/>
      <c r="AF224" s="414"/>
      <c r="AG224" s="418" t="s">
        <v>159</v>
      </c>
      <c r="AH224" s="419"/>
      <c r="AI224" s="420"/>
      <c r="AJ224" s="421"/>
      <c r="AK224" s="413"/>
      <c r="AL224" s="414"/>
      <c r="AM224" s="414"/>
      <c r="AN224" s="414"/>
      <c r="AO224" s="418" t="s">
        <v>159</v>
      </c>
      <c r="AP224" s="419"/>
      <c r="AQ224" s="420"/>
      <c r="AR224" s="421"/>
      <c r="AS224" s="413"/>
      <c r="AT224" s="414"/>
      <c r="AU224" s="414"/>
      <c r="AV224" s="414"/>
      <c r="AW224" s="418" t="s">
        <v>159</v>
      </c>
      <c r="AX224" s="419"/>
      <c r="AY224" s="420"/>
      <c r="AZ224" s="421"/>
      <c r="BA224" s="413"/>
      <c r="BB224" s="414"/>
      <c r="BC224" s="414"/>
      <c r="BD224" s="414"/>
      <c r="BE224" s="418" t="s">
        <v>159</v>
      </c>
      <c r="BF224" s="419"/>
      <c r="BG224" s="420"/>
      <c r="BH224" s="421"/>
      <c r="BI224" s="413"/>
      <c r="BJ224" s="414"/>
      <c r="BK224" s="414"/>
      <c r="BL224" s="414"/>
      <c r="BM224" s="418" t="s">
        <v>159</v>
      </c>
      <c r="BN224" s="419"/>
      <c r="BO224" s="420"/>
      <c r="BP224" s="421"/>
      <c r="BQ224" s="413"/>
      <c r="BR224" s="414"/>
      <c r="BS224" s="414"/>
      <c r="BT224" s="414"/>
      <c r="BU224" s="418" t="s">
        <v>159</v>
      </c>
      <c r="BV224" s="419"/>
      <c r="BW224" s="420"/>
      <c r="BX224" s="421"/>
      <c r="BY224" s="413"/>
      <c r="BZ224" s="414"/>
      <c r="CA224" s="414"/>
      <c r="CB224" s="414"/>
      <c r="CC224" s="418" t="s">
        <v>159</v>
      </c>
      <c r="CD224" s="419"/>
      <c r="CE224" s="420"/>
      <c r="CF224" s="421"/>
      <c r="CG224" s="413"/>
      <c r="CH224" s="414"/>
      <c r="CI224" s="414"/>
      <c r="CJ224" s="414"/>
      <c r="CK224" s="418" t="s">
        <v>159</v>
      </c>
      <c r="CL224" s="419"/>
      <c r="CM224" s="420"/>
      <c r="CN224" s="421"/>
      <c r="CO224" s="413"/>
      <c r="CP224" s="414"/>
      <c r="CQ224" s="414"/>
      <c r="CR224" s="414"/>
      <c r="CS224" s="418" t="s">
        <v>159</v>
      </c>
      <c r="CT224" s="419"/>
      <c r="CU224" s="420"/>
      <c r="CV224" s="421"/>
      <c r="CW224" s="413"/>
      <c r="CX224" s="414"/>
      <c r="CY224" s="414"/>
      <c r="CZ224" s="414"/>
      <c r="DA224" s="418" t="s">
        <v>159</v>
      </c>
      <c r="DB224" s="419"/>
      <c r="DC224" s="420"/>
      <c r="DD224" s="421"/>
      <c r="DE224" s="413"/>
      <c r="DF224" s="414"/>
      <c r="DG224" s="414"/>
      <c r="DH224" s="414"/>
      <c r="DI224" s="418" t="s">
        <v>159</v>
      </c>
      <c r="DJ224" s="419"/>
      <c r="DK224" s="420"/>
      <c r="DL224" s="421"/>
      <c r="DM224" s="413"/>
      <c r="DN224" s="414"/>
      <c r="DO224" s="414"/>
      <c r="DP224" s="414"/>
      <c r="DQ224" s="418" t="s">
        <v>159</v>
      </c>
      <c r="DR224" s="419"/>
      <c r="DS224" s="420"/>
      <c r="DT224" s="421"/>
      <c r="DU224" s="413"/>
      <c r="DV224" s="414"/>
      <c r="DW224" s="414"/>
      <c r="DX224" s="414"/>
      <c r="DY224" s="418" t="s">
        <v>159</v>
      </c>
      <c r="DZ224" s="419"/>
      <c r="EA224" s="420"/>
      <c r="EB224" s="421"/>
      <c r="EC224" s="413"/>
      <c r="ED224" s="414"/>
      <c r="EE224" s="414"/>
      <c r="EF224" s="414"/>
      <c r="EG224" s="418" t="s">
        <v>159</v>
      </c>
      <c r="EH224" s="419"/>
      <c r="EI224" s="420"/>
      <c r="EJ224" s="421"/>
      <c r="EK224" s="413"/>
      <c r="EL224" s="414"/>
      <c r="EM224" s="414"/>
      <c r="EN224" s="414"/>
      <c r="EO224" s="418" t="s">
        <v>159</v>
      </c>
      <c r="EP224" s="419"/>
      <c r="EQ224" s="420"/>
      <c r="ER224" s="421"/>
      <c r="ES224" s="413"/>
      <c r="ET224" s="414"/>
      <c r="EU224" s="414"/>
      <c r="EV224" s="414"/>
      <c r="EW224" s="418" t="s">
        <v>159</v>
      </c>
      <c r="EX224" s="419"/>
      <c r="EY224" s="420"/>
      <c r="EZ224" s="421"/>
      <c r="FA224" s="413"/>
      <c r="FB224" s="414"/>
      <c r="FC224" s="414"/>
      <c r="FD224" s="414"/>
      <c r="FE224" s="418" t="s">
        <v>159</v>
      </c>
      <c r="FF224" s="419"/>
      <c r="FG224" s="420"/>
      <c r="FH224" s="421"/>
      <c r="FI224" s="413"/>
      <c r="FJ224" s="414"/>
      <c r="FK224" s="414"/>
      <c r="FL224" s="414"/>
      <c r="FM224" s="418" t="s">
        <v>159</v>
      </c>
      <c r="FN224" s="419"/>
      <c r="FO224" s="420"/>
      <c r="FP224" s="421"/>
      <c r="FQ224" s="413"/>
      <c r="FR224" s="414"/>
      <c r="FS224" s="414"/>
      <c r="FT224" s="414"/>
      <c r="FU224" s="418" t="s">
        <v>159</v>
      </c>
      <c r="FV224" s="419"/>
      <c r="FW224" s="420"/>
      <c r="FX224" s="421"/>
      <c r="FY224" s="413"/>
      <c r="FZ224" s="414"/>
      <c r="GA224" s="414"/>
      <c r="GB224" s="414"/>
      <c r="GC224" s="418" t="s">
        <v>159</v>
      </c>
      <c r="GD224" s="419"/>
      <c r="GE224" s="420"/>
      <c r="GF224" s="421"/>
      <c r="GG224" s="413"/>
      <c r="GH224" s="414"/>
      <c r="GI224" s="414"/>
      <c r="GJ224" s="414"/>
      <c r="GK224" s="418" t="s">
        <v>159</v>
      </c>
      <c r="GL224" s="419"/>
      <c r="GM224" s="420"/>
      <c r="GN224" s="421"/>
      <c r="GO224" s="413"/>
      <c r="GP224" s="414"/>
      <c r="GQ224" s="414"/>
      <c r="GR224" s="414"/>
      <c r="GS224" s="418" t="s">
        <v>159</v>
      </c>
      <c r="GT224" s="419"/>
      <c r="GU224" s="420"/>
      <c r="GV224" s="421"/>
      <c r="GW224" s="413"/>
      <c r="GX224" s="414"/>
      <c r="GY224" s="414"/>
      <c r="GZ224" s="414"/>
      <c r="HA224" s="418" t="s">
        <v>159</v>
      </c>
      <c r="HB224" s="419"/>
      <c r="HC224" s="420"/>
      <c r="HD224" s="421"/>
      <c r="HE224" s="413"/>
      <c r="HF224" s="414"/>
      <c r="HG224" s="414"/>
      <c r="HH224" s="414"/>
      <c r="HI224" s="418" t="s">
        <v>159</v>
      </c>
      <c r="HJ224" s="419"/>
      <c r="HK224" s="420"/>
      <c r="HL224" s="421"/>
      <c r="HM224" s="413"/>
      <c r="HN224" s="414"/>
      <c r="HO224" s="414"/>
      <c r="HP224" s="414"/>
      <c r="HQ224" s="418" t="s">
        <v>159</v>
      </c>
      <c r="HR224" s="419"/>
      <c r="HS224" s="420"/>
      <c r="HT224" s="421"/>
      <c r="HU224" s="413"/>
      <c r="HV224" s="414"/>
      <c r="HW224" s="414"/>
      <c r="HX224" s="414"/>
      <c r="HY224" s="418" t="s">
        <v>159</v>
      </c>
      <c r="HZ224" s="419"/>
      <c r="IA224" s="420"/>
      <c r="IB224" s="421"/>
      <c r="IC224" s="413"/>
      <c r="ID224" s="414"/>
      <c r="IE224" s="414"/>
      <c r="IF224" s="414"/>
      <c r="IG224" s="418" t="s">
        <v>159</v>
      </c>
      <c r="IH224" s="419"/>
      <c r="II224" s="420"/>
      <c r="IJ224" s="421"/>
      <c r="IK224" s="413"/>
      <c r="IL224" s="414"/>
      <c r="IM224" s="414"/>
      <c r="IN224" s="414"/>
      <c r="IO224" s="418" t="s">
        <v>159</v>
      </c>
      <c r="IP224" s="419"/>
      <c r="IQ224" s="420"/>
      <c r="IR224" s="421"/>
      <c r="IS224" s="413"/>
      <c r="IT224" s="414"/>
      <c r="IU224" s="414"/>
      <c r="IV224" s="414"/>
    </row>
    <row r="225" spans="1:256" ht="25.5" customHeight="1">
      <c r="A225" s="366" t="s">
        <v>235</v>
      </c>
      <c r="B225" s="367"/>
      <c r="C225" s="356" t="s">
        <v>193</v>
      </c>
      <c r="D225" s="356"/>
      <c r="E225" s="357">
        <v>0</v>
      </c>
      <c r="F225" s="1164"/>
      <c r="G225" s="591">
        <f>ROUND((1/800)*E225,2)</f>
        <v>0</v>
      </c>
      <c r="H225" s="592"/>
      <c r="I225" s="1158"/>
      <c r="J225" s="455"/>
      <c r="K225" s="455"/>
      <c r="L225" s="459"/>
      <c r="M225" s="457"/>
      <c r="N225" s="457"/>
      <c r="O225" s="457"/>
      <c r="P225" s="457"/>
      <c r="Q225" s="417"/>
      <c r="R225" s="411"/>
      <c r="S225" s="411"/>
      <c r="T225" s="421"/>
      <c r="U225" s="413"/>
      <c r="V225" s="414"/>
      <c r="W225" s="414"/>
      <c r="X225" s="414"/>
      <c r="Y225" s="411"/>
      <c r="Z225" s="411"/>
      <c r="AA225" s="411"/>
      <c r="AB225" s="421"/>
      <c r="AC225" s="413"/>
      <c r="AD225" s="414"/>
      <c r="AE225" s="414"/>
      <c r="AF225" s="414"/>
      <c r="AG225" s="411"/>
      <c r="AH225" s="411"/>
      <c r="AI225" s="411"/>
      <c r="AJ225" s="421"/>
      <c r="AK225" s="413"/>
      <c r="AL225" s="414"/>
      <c r="AM225" s="414"/>
      <c r="AN225" s="414"/>
      <c r="AO225" s="411"/>
      <c r="AP225" s="411"/>
      <c r="AQ225" s="411"/>
      <c r="AR225" s="421"/>
      <c r="AS225" s="413"/>
      <c r="AT225" s="414"/>
      <c r="AU225" s="414"/>
      <c r="AV225" s="414"/>
      <c r="AW225" s="411"/>
      <c r="AX225" s="411"/>
      <c r="AY225" s="411"/>
      <c r="AZ225" s="421"/>
      <c r="BA225" s="413"/>
      <c r="BB225" s="414"/>
      <c r="BC225" s="414"/>
      <c r="BD225" s="414"/>
      <c r="BE225" s="411"/>
      <c r="BF225" s="411"/>
      <c r="BG225" s="411"/>
      <c r="BH225" s="421"/>
      <c r="BI225" s="413"/>
      <c r="BJ225" s="414"/>
      <c r="BK225" s="414"/>
      <c r="BL225" s="414"/>
      <c r="BM225" s="411"/>
      <c r="BN225" s="411"/>
      <c r="BO225" s="411"/>
      <c r="BP225" s="421"/>
      <c r="BQ225" s="413"/>
      <c r="BR225" s="414"/>
      <c r="BS225" s="414"/>
      <c r="BT225" s="414"/>
      <c r="BU225" s="411"/>
      <c r="BV225" s="411"/>
      <c r="BW225" s="411"/>
      <c r="BX225" s="421"/>
      <c r="BY225" s="413"/>
      <c r="BZ225" s="414"/>
      <c r="CA225" s="414"/>
      <c r="CB225" s="414"/>
      <c r="CC225" s="411"/>
      <c r="CD225" s="411"/>
      <c r="CE225" s="411"/>
      <c r="CF225" s="421"/>
      <c r="CG225" s="413"/>
      <c r="CH225" s="414"/>
      <c r="CI225" s="414"/>
      <c r="CJ225" s="414"/>
      <c r="CK225" s="411"/>
      <c r="CL225" s="411"/>
      <c r="CM225" s="411"/>
      <c r="CN225" s="421"/>
      <c r="CO225" s="413"/>
      <c r="CP225" s="414"/>
      <c r="CQ225" s="414"/>
      <c r="CR225" s="414"/>
      <c r="CS225" s="411"/>
      <c r="CT225" s="411"/>
      <c r="CU225" s="411"/>
      <c r="CV225" s="421"/>
      <c r="CW225" s="413"/>
      <c r="CX225" s="414"/>
      <c r="CY225" s="414"/>
      <c r="CZ225" s="414"/>
      <c r="DA225" s="411"/>
      <c r="DB225" s="411"/>
      <c r="DC225" s="411"/>
      <c r="DD225" s="421"/>
      <c r="DE225" s="413"/>
      <c r="DF225" s="414"/>
      <c r="DG225" s="414"/>
      <c r="DH225" s="414"/>
      <c r="DI225" s="411"/>
      <c r="DJ225" s="411"/>
      <c r="DK225" s="411"/>
      <c r="DL225" s="421"/>
      <c r="DM225" s="413"/>
      <c r="DN225" s="414"/>
      <c r="DO225" s="414"/>
      <c r="DP225" s="414"/>
      <c r="DQ225" s="411"/>
      <c r="DR225" s="411"/>
      <c r="DS225" s="411"/>
      <c r="DT225" s="421"/>
      <c r="DU225" s="413"/>
      <c r="DV225" s="414"/>
      <c r="DW225" s="414"/>
      <c r="DX225" s="414"/>
      <c r="DY225" s="411"/>
      <c r="DZ225" s="411"/>
      <c r="EA225" s="411"/>
      <c r="EB225" s="421"/>
      <c r="EC225" s="413"/>
      <c r="ED225" s="414"/>
      <c r="EE225" s="414"/>
      <c r="EF225" s="414"/>
      <c r="EG225" s="411"/>
      <c r="EH225" s="411"/>
      <c r="EI225" s="411"/>
      <c r="EJ225" s="421"/>
      <c r="EK225" s="413"/>
      <c r="EL225" s="414"/>
      <c r="EM225" s="414"/>
      <c r="EN225" s="414"/>
      <c r="EO225" s="411"/>
      <c r="EP225" s="411"/>
      <c r="EQ225" s="411"/>
      <c r="ER225" s="421"/>
      <c r="ES225" s="413"/>
      <c r="ET225" s="414"/>
      <c r="EU225" s="414"/>
      <c r="EV225" s="414"/>
      <c r="EW225" s="411"/>
      <c r="EX225" s="411"/>
      <c r="EY225" s="411"/>
      <c r="EZ225" s="421"/>
      <c r="FA225" s="413"/>
      <c r="FB225" s="414"/>
      <c r="FC225" s="414"/>
      <c r="FD225" s="414"/>
      <c r="FE225" s="411"/>
      <c r="FF225" s="411"/>
      <c r="FG225" s="411"/>
      <c r="FH225" s="421"/>
      <c r="FI225" s="413"/>
      <c r="FJ225" s="414"/>
      <c r="FK225" s="414"/>
      <c r="FL225" s="414"/>
      <c r="FM225" s="411"/>
      <c r="FN225" s="411"/>
      <c r="FO225" s="411"/>
      <c r="FP225" s="421"/>
      <c r="FQ225" s="413"/>
      <c r="FR225" s="414"/>
      <c r="FS225" s="414"/>
      <c r="FT225" s="414"/>
      <c r="FU225" s="411"/>
      <c r="FV225" s="411"/>
      <c r="FW225" s="411"/>
      <c r="FX225" s="421"/>
      <c r="FY225" s="413"/>
      <c r="FZ225" s="414"/>
      <c r="GA225" s="414"/>
      <c r="GB225" s="414"/>
      <c r="GC225" s="411"/>
      <c r="GD225" s="411"/>
      <c r="GE225" s="411"/>
      <c r="GF225" s="421"/>
      <c r="GG225" s="413"/>
      <c r="GH225" s="414"/>
      <c r="GI225" s="414"/>
      <c r="GJ225" s="414"/>
      <c r="GK225" s="411"/>
      <c r="GL225" s="411"/>
      <c r="GM225" s="411"/>
      <c r="GN225" s="421"/>
      <c r="GO225" s="413"/>
      <c r="GP225" s="414"/>
      <c r="GQ225" s="414"/>
      <c r="GR225" s="414"/>
      <c r="GS225" s="411"/>
      <c r="GT225" s="411"/>
      <c r="GU225" s="411"/>
      <c r="GV225" s="421"/>
      <c r="GW225" s="413"/>
      <c r="GX225" s="414"/>
      <c r="GY225" s="414"/>
      <c r="GZ225" s="414"/>
      <c r="HA225" s="411"/>
      <c r="HB225" s="411"/>
      <c r="HC225" s="411"/>
      <c r="HD225" s="421"/>
      <c r="HE225" s="413"/>
      <c r="HF225" s="414"/>
      <c r="HG225" s="414"/>
      <c r="HH225" s="414"/>
      <c r="HI225" s="411"/>
      <c r="HJ225" s="411"/>
      <c r="HK225" s="411"/>
      <c r="HL225" s="421"/>
      <c r="HM225" s="413"/>
      <c r="HN225" s="414"/>
      <c r="HO225" s="414"/>
      <c r="HP225" s="414"/>
      <c r="HQ225" s="411"/>
      <c r="HR225" s="411"/>
      <c r="HS225" s="411"/>
      <c r="HT225" s="421"/>
      <c r="HU225" s="413"/>
      <c r="HV225" s="414"/>
      <c r="HW225" s="414"/>
      <c r="HX225" s="414"/>
      <c r="HY225" s="411"/>
      <c r="HZ225" s="411"/>
      <c r="IA225" s="411"/>
      <c r="IB225" s="421"/>
      <c r="IC225" s="413"/>
      <c r="ID225" s="414"/>
      <c r="IE225" s="414"/>
      <c r="IF225" s="414"/>
      <c r="IG225" s="411"/>
      <c r="IH225" s="411"/>
      <c r="II225" s="411"/>
      <c r="IJ225" s="421"/>
      <c r="IK225" s="413"/>
      <c r="IL225" s="414"/>
      <c r="IM225" s="414"/>
      <c r="IN225" s="414"/>
      <c r="IO225" s="411"/>
      <c r="IP225" s="411"/>
      <c r="IQ225" s="411"/>
      <c r="IR225" s="421"/>
      <c r="IS225" s="413"/>
      <c r="IT225" s="414"/>
      <c r="IU225" s="414"/>
      <c r="IV225" s="414"/>
    </row>
    <row r="226" spans="1:256" ht="14.25" customHeight="1">
      <c r="A226" s="347" t="s">
        <v>134</v>
      </c>
      <c r="B226" s="348"/>
      <c r="C226" s="349"/>
      <c r="D226" s="349"/>
      <c r="E226" s="349"/>
      <c r="F226" s="350"/>
      <c r="G226" s="401">
        <f>SUM(G224+G225)</f>
        <v>0</v>
      </c>
      <c r="H226" s="402"/>
      <c r="I226" s="403"/>
      <c r="J226" s="455"/>
      <c r="K226" s="455"/>
      <c r="L226" s="459"/>
      <c r="M226" s="457"/>
      <c r="N226" s="457"/>
      <c r="O226" s="457"/>
      <c r="P226" s="457"/>
      <c r="Q226" s="417"/>
      <c r="R226" s="411"/>
      <c r="S226" s="411"/>
      <c r="T226" s="421"/>
      <c r="U226" s="413"/>
      <c r="V226" s="414"/>
      <c r="W226" s="414"/>
      <c r="X226" s="414"/>
      <c r="Y226" s="411"/>
      <c r="Z226" s="411"/>
      <c r="AA226" s="411"/>
      <c r="AB226" s="421"/>
      <c r="AC226" s="413"/>
      <c r="AD226" s="414"/>
      <c r="AE226" s="414"/>
      <c r="AF226" s="414"/>
      <c r="AG226" s="411"/>
      <c r="AH226" s="411"/>
      <c r="AI226" s="411"/>
      <c r="AJ226" s="421"/>
      <c r="AK226" s="413"/>
      <c r="AL226" s="414"/>
      <c r="AM226" s="414"/>
      <c r="AN226" s="414"/>
      <c r="AO226" s="411"/>
      <c r="AP226" s="411"/>
      <c r="AQ226" s="411"/>
      <c r="AR226" s="421"/>
      <c r="AS226" s="413"/>
      <c r="AT226" s="414"/>
      <c r="AU226" s="414"/>
      <c r="AV226" s="414"/>
      <c r="AW226" s="411"/>
      <c r="AX226" s="411"/>
      <c r="AY226" s="411"/>
      <c r="AZ226" s="421"/>
      <c r="BA226" s="413"/>
      <c r="BB226" s="414"/>
      <c r="BC226" s="414"/>
      <c r="BD226" s="414"/>
      <c r="BE226" s="411"/>
      <c r="BF226" s="411"/>
      <c r="BG226" s="411"/>
      <c r="BH226" s="421"/>
      <c r="BI226" s="413"/>
      <c r="BJ226" s="414"/>
      <c r="BK226" s="414"/>
      <c r="BL226" s="414"/>
      <c r="BM226" s="411"/>
      <c r="BN226" s="411"/>
      <c r="BO226" s="411"/>
      <c r="BP226" s="421"/>
      <c r="BQ226" s="413"/>
      <c r="BR226" s="414"/>
      <c r="BS226" s="414"/>
      <c r="BT226" s="414"/>
      <c r="BU226" s="411"/>
      <c r="BV226" s="411"/>
      <c r="BW226" s="411"/>
      <c r="BX226" s="421"/>
      <c r="BY226" s="413"/>
      <c r="BZ226" s="414"/>
      <c r="CA226" s="414"/>
      <c r="CB226" s="414"/>
      <c r="CC226" s="411"/>
      <c r="CD226" s="411"/>
      <c r="CE226" s="411"/>
      <c r="CF226" s="421"/>
      <c r="CG226" s="413"/>
      <c r="CH226" s="414"/>
      <c r="CI226" s="414"/>
      <c r="CJ226" s="414"/>
      <c r="CK226" s="411"/>
      <c r="CL226" s="411"/>
      <c r="CM226" s="411"/>
      <c r="CN226" s="421"/>
      <c r="CO226" s="413"/>
      <c r="CP226" s="414"/>
      <c r="CQ226" s="414"/>
      <c r="CR226" s="414"/>
      <c r="CS226" s="411"/>
      <c r="CT226" s="411"/>
      <c r="CU226" s="411"/>
      <c r="CV226" s="421"/>
      <c r="CW226" s="413"/>
      <c r="CX226" s="414"/>
      <c r="CY226" s="414"/>
      <c r="CZ226" s="414"/>
      <c r="DA226" s="411"/>
      <c r="DB226" s="411"/>
      <c r="DC226" s="411"/>
      <c r="DD226" s="421"/>
      <c r="DE226" s="413"/>
      <c r="DF226" s="414"/>
      <c r="DG226" s="414"/>
      <c r="DH226" s="414"/>
      <c r="DI226" s="411"/>
      <c r="DJ226" s="411"/>
      <c r="DK226" s="411"/>
      <c r="DL226" s="421"/>
      <c r="DM226" s="413"/>
      <c r="DN226" s="414"/>
      <c r="DO226" s="414"/>
      <c r="DP226" s="414"/>
      <c r="DQ226" s="411"/>
      <c r="DR226" s="411"/>
      <c r="DS226" s="411"/>
      <c r="DT226" s="421"/>
      <c r="DU226" s="413"/>
      <c r="DV226" s="414"/>
      <c r="DW226" s="414"/>
      <c r="DX226" s="414"/>
      <c r="DY226" s="411"/>
      <c r="DZ226" s="411"/>
      <c r="EA226" s="411"/>
      <c r="EB226" s="421"/>
      <c r="EC226" s="413"/>
      <c r="ED226" s="414"/>
      <c r="EE226" s="414"/>
      <c r="EF226" s="414"/>
      <c r="EG226" s="411"/>
      <c r="EH226" s="411"/>
      <c r="EI226" s="411"/>
      <c r="EJ226" s="421"/>
      <c r="EK226" s="413"/>
      <c r="EL226" s="414"/>
      <c r="EM226" s="414"/>
      <c r="EN226" s="414"/>
      <c r="EO226" s="411"/>
      <c r="EP226" s="411"/>
      <c r="EQ226" s="411"/>
      <c r="ER226" s="421"/>
      <c r="ES226" s="413"/>
      <c r="ET226" s="414"/>
      <c r="EU226" s="414"/>
      <c r="EV226" s="414"/>
      <c r="EW226" s="411"/>
      <c r="EX226" s="411"/>
      <c r="EY226" s="411"/>
      <c r="EZ226" s="421"/>
      <c r="FA226" s="413"/>
      <c r="FB226" s="414"/>
      <c r="FC226" s="414"/>
      <c r="FD226" s="414"/>
      <c r="FE226" s="411"/>
      <c r="FF226" s="411"/>
      <c r="FG226" s="411"/>
      <c r="FH226" s="421"/>
      <c r="FI226" s="413"/>
      <c r="FJ226" s="414"/>
      <c r="FK226" s="414"/>
      <c r="FL226" s="414"/>
      <c r="FM226" s="411"/>
      <c r="FN226" s="411"/>
      <c r="FO226" s="411"/>
      <c r="FP226" s="421"/>
      <c r="FQ226" s="413"/>
      <c r="FR226" s="414"/>
      <c r="FS226" s="414"/>
      <c r="FT226" s="414"/>
      <c r="FU226" s="411"/>
      <c r="FV226" s="411"/>
      <c r="FW226" s="411"/>
      <c r="FX226" s="421"/>
      <c r="FY226" s="413"/>
      <c r="FZ226" s="414"/>
      <c r="GA226" s="414"/>
      <c r="GB226" s="414"/>
      <c r="GC226" s="411"/>
      <c r="GD226" s="411"/>
      <c r="GE226" s="411"/>
      <c r="GF226" s="421"/>
      <c r="GG226" s="413"/>
      <c r="GH226" s="414"/>
      <c r="GI226" s="414"/>
      <c r="GJ226" s="414"/>
      <c r="GK226" s="411"/>
      <c r="GL226" s="411"/>
      <c r="GM226" s="411"/>
      <c r="GN226" s="421"/>
      <c r="GO226" s="413"/>
      <c r="GP226" s="414"/>
      <c r="GQ226" s="414"/>
      <c r="GR226" s="414"/>
      <c r="GS226" s="411"/>
      <c r="GT226" s="411"/>
      <c r="GU226" s="411"/>
      <c r="GV226" s="421"/>
      <c r="GW226" s="413"/>
      <c r="GX226" s="414"/>
      <c r="GY226" s="414"/>
      <c r="GZ226" s="414"/>
      <c r="HA226" s="411"/>
      <c r="HB226" s="411"/>
      <c r="HC226" s="411"/>
      <c r="HD226" s="421"/>
      <c r="HE226" s="413"/>
      <c r="HF226" s="414"/>
      <c r="HG226" s="414"/>
      <c r="HH226" s="414"/>
      <c r="HI226" s="411"/>
      <c r="HJ226" s="411"/>
      <c r="HK226" s="411"/>
      <c r="HL226" s="421"/>
      <c r="HM226" s="413"/>
      <c r="HN226" s="414"/>
      <c r="HO226" s="414"/>
      <c r="HP226" s="414"/>
      <c r="HQ226" s="411"/>
      <c r="HR226" s="411"/>
      <c r="HS226" s="411"/>
      <c r="HT226" s="421"/>
      <c r="HU226" s="413"/>
      <c r="HV226" s="414"/>
      <c r="HW226" s="414"/>
      <c r="HX226" s="414"/>
      <c r="HY226" s="411"/>
      <c r="HZ226" s="411"/>
      <c r="IA226" s="411"/>
      <c r="IB226" s="421"/>
      <c r="IC226" s="413"/>
      <c r="ID226" s="414"/>
      <c r="IE226" s="414"/>
      <c r="IF226" s="414"/>
      <c r="IG226" s="411"/>
      <c r="IH226" s="411"/>
      <c r="II226" s="411"/>
      <c r="IJ226" s="421"/>
      <c r="IK226" s="413"/>
      <c r="IL226" s="414"/>
      <c r="IM226" s="414"/>
      <c r="IN226" s="414"/>
      <c r="IO226" s="411"/>
      <c r="IP226" s="411"/>
      <c r="IQ226" s="411"/>
      <c r="IR226" s="421"/>
      <c r="IS226" s="413"/>
      <c r="IT226" s="414"/>
      <c r="IU226" s="414"/>
      <c r="IV226" s="414"/>
    </row>
    <row r="227" spans="1:256" ht="9" customHeight="1">
      <c r="A227" s="593"/>
      <c r="B227" s="594"/>
      <c r="C227" s="407"/>
      <c r="D227" s="407"/>
      <c r="E227" s="407"/>
      <c r="F227" s="407"/>
      <c r="G227" s="407"/>
      <c r="H227" s="407"/>
      <c r="I227" s="467"/>
      <c r="J227" s="455"/>
      <c r="K227" s="455"/>
      <c r="L227" s="459"/>
      <c r="M227" s="457"/>
      <c r="N227" s="457"/>
      <c r="O227" s="457"/>
      <c r="P227" s="457"/>
      <c r="Q227" s="417"/>
      <c r="R227" s="411"/>
      <c r="S227" s="411"/>
      <c r="T227" s="421"/>
      <c r="U227" s="413"/>
      <c r="V227" s="414"/>
      <c r="W227" s="414"/>
      <c r="X227" s="414"/>
      <c r="Y227" s="411"/>
      <c r="Z227" s="411"/>
      <c r="AA227" s="411"/>
      <c r="AB227" s="421"/>
      <c r="AC227" s="413"/>
      <c r="AD227" s="414"/>
      <c r="AE227" s="414"/>
      <c r="AF227" s="414"/>
      <c r="AG227" s="411"/>
      <c r="AH227" s="411"/>
      <c r="AI227" s="411"/>
      <c r="AJ227" s="421"/>
      <c r="AK227" s="413"/>
      <c r="AL227" s="414"/>
      <c r="AM227" s="414"/>
      <c r="AN227" s="414"/>
      <c r="AO227" s="411"/>
      <c r="AP227" s="411"/>
      <c r="AQ227" s="411"/>
      <c r="AR227" s="421"/>
      <c r="AS227" s="413"/>
      <c r="AT227" s="414"/>
      <c r="AU227" s="414"/>
      <c r="AV227" s="414"/>
      <c r="AW227" s="411"/>
      <c r="AX227" s="411"/>
      <c r="AY227" s="411"/>
      <c r="AZ227" s="421"/>
      <c r="BA227" s="413"/>
      <c r="BB227" s="414"/>
      <c r="BC227" s="414"/>
      <c r="BD227" s="414"/>
      <c r="BE227" s="411"/>
      <c r="BF227" s="411"/>
      <c r="BG227" s="411"/>
      <c r="BH227" s="421"/>
      <c r="BI227" s="413"/>
      <c r="BJ227" s="414"/>
      <c r="BK227" s="414"/>
      <c r="BL227" s="414"/>
      <c r="BM227" s="411"/>
      <c r="BN227" s="411"/>
      <c r="BO227" s="411"/>
      <c r="BP227" s="421"/>
      <c r="BQ227" s="413"/>
      <c r="BR227" s="414"/>
      <c r="BS227" s="414"/>
      <c r="BT227" s="414"/>
      <c r="BU227" s="411"/>
      <c r="BV227" s="411"/>
      <c r="BW227" s="411"/>
      <c r="BX227" s="421"/>
      <c r="BY227" s="413"/>
      <c r="BZ227" s="414"/>
      <c r="CA227" s="414"/>
      <c r="CB227" s="414"/>
      <c r="CC227" s="411"/>
      <c r="CD227" s="411"/>
      <c r="CE227" s="411"/>
      <c r="CF227" s="421"/>
      <c r="CG227" s="413"/>
      <c r="CH227" s="414"/>
      <c r="CI227" s="414"/>
      <c r="CJ227" s="414"/>
      <c r="CK227" s="411"/>
      <c r="CL227" s="411"/>
      <c r="CM227" s="411"/>
      <c r="CN227" s="421"/>
      <c r="CO227" s="413"/>
      <c r="CP227" s="414"/>
      <c r="CQ227" s="414"/>
      <c r="CR227" s="414"/>
      <c r="CS227" s="411"/>
      <c r="CT227" s="411"/>
      <c r="CU227" s="411"/>
      <c r="CV227" s="421"/>
      <c r="CW227" s="413"/>
      <c r="CX227" s="414"/>
      <c r="CY227" s="414"/>
      <c r="CZ227" s="414"/>
      <c r="DA227" s="411"/>
      <c r="DB227" s="411"/>
      <c r="DC227" s="411"/>
      <c r="DD227" s="421"/>
      <c r="DE227" s="413"/>
      <c r="DF227" s="414"/>
      <c r="DG227" s="414"/>
      <c r="DH227" s="414"/>
      <c r="DI227" s="411"/>
      <c r="DJ227" s="411"/>
      <c r="DK227" s="411"/>
      <c r="DL227" s="421"/>
      <c r="DM227" s="413"/>
      <c r="DN227" s="414"/>
      <c r="DO227" s="414"/>
      <c r="DP227" s="414"/>
      <c r="DQ227" s="411"/>
      <c r="DR227" s="411"/>
      <c r="DS227" s="411"/>
      <c r="DT227" s="421"/>
      <c r="DU227" s="413"/>
      <c r="DV227" s="414"/>
      <c r="DW227" s="414"/>
      <c r="DX227" s="414"/>
      <c r="DY227" s="411"/>
      <c r="DZ227" s="411"/>
      <c r="EA227" s="411"/>
      <c r="EB227" s="421"/>
      <c r="EC227" s="413"/>
      <c r="ED227" s="414"/>
      <c r="EE227" s="414"/>
      <c r="EF227" s="414"/>
      <c r="EG227" s="411"/>
      <c r="EH227" s="411"/>
      <c r="EI227" s="411"/>
      <c r="EJ227" s="421"/>
      <c r="EK227" s="413"/>
      <c r="EL227" s="414"/>
      <c r="EM227" s="414"/>
      <c r="EN227" s="414"/>
      <c r="EO227" s="411"/>
      <c r="EP227" s="411"/>
      <c r="EQ227" s="411"/>
      <c r="ER227" s="421"/>
      <c r="ES227" s="413"/>
      <c r="ET227" s="414"/>
      <c r="EU227" s="414"/>
      <c r="EV227" s="414"/>
      <c r="EW227" s="411"/>
      <c r="EX227" s="411"/>
      <c r="EY227" s="411"/>
      <c r="EZ227" s="421"/>
      <c r="FA227" s="413"/>
      <c r="FB227" s="414"/>
      <c r="FC227" s="414"/>
      <c r="FD227" s="414"/>
      <c r="FE227" s="411"/>
      <c r="FF227" s="411"/>
      <c r="FG227" s="411"/>
      <c r="FH227" s="421"/>
      <c r="FI227" s="413"/>
      <c r="FJ227" s="414"/>
      <c r="FK227" s="414"/>
      <c r="FL227" s="414"/>
      <c r="FM227" s="411"/>
      <c r="FN227" s="411"/>
      <c r="FO227" s="411"/>
      <c r="FP227" s="421"/>
      <c r="FQ227" s="413"/>
      <c r="FR227" s="414"/>
      <c r="FS227" s="414"/>
      <c r="FT227" s="414"/>
      <c r="FU227" s="411"/>
      <c r="FV227" s="411"/>
      <c r="FW227" s="411"/>
      <c r="FX227" s="421"/>
      <c r="FY227" s="413"/>
      <c r="FZ227" s="414"/>
      <c r="GA227" s="414"/>
      <c r="GB227" s="414"/>
      <c r="GC227" s="411"/>
      <c r="GD227" s="411"/>
      <c r="GE227" s="411"/>
      <c r="GF227" s="421"/>
      <c r="GG227" s="413"/>
      <c r="GH227" s="414"/>
      <c r="GI227" s="414"/>
      <c r="GJ227" s="414"/>
      <c r="GK227" s="411"/>
      <c r="GL227" s="411"/>
      <c r="GM227" s="411"/>
      <c r="GN227" s="421"/>
      <c r="GO227" s="413"/>
      <c r="GP227" s="414"/>
      <c r="GQ227" s="414"/>
      <c r="GR227" s="414"/>
      <c r="GS227" s="411"/>
      <c r="GT227" s="411"/>
      <c r="GU227" s="411"/>
      <c r="GV227" s="421"/>
      <c r="GW227" s="413"/>
      <c r="GX227" s="414"/>
      <c r="GY227" s="414"/>
      <c r="GZ227" s="414"/>
      <c r="HA227" s="411"/>
      <c r="HB227" s="411"/>
      <c r="HC227" s="411"/>
      <c r="HD227" s="421"/>
      <c r="HE227" s="413"/>
      <c r="HF227" s="414"/>
      <c r="HG227" s="414"/>
      <c r="HH227" s="414"/>
      <c r="HI227" s="411"/>
      <c r="HJ227" s="411"/>
      <c r="HK227" s="411"/>
      <c r="HL227" s="421"/>
      <c r="HM227" s="413"/>
      <c r="HN227" s="414"/>
      <c r="HO227" s="414"/>
      <c r="HP227" s="414"/>
      <c r="HQ227" s="411"/>
      <c r="HR227" s="411"/>
      <c r="HS227" s="411"/>
      <c r="HT227" s="421"/>
      <c r="HU227" s="413"/>
      <c r="HV227" s="414"/>
      <c r="HW227" s="414"/>
      <c r="HX227" s="414"/>
      <c r="HY227" s="411"/>
      <c r="HZ227" s="411"/>
      <c r="IA227" s="411"/>
      <c r="IB227" s="421"/>
      <c r="IC227" s="413"/>
      <c r="ID227" s="414"/>
      <c r="IE227" s="414"/>
      <c r="IF227" s="414"/>
      <c r="IG227" s="411"/>
      <c r="IH227" s="411"/>
      <c r="II227" s="411"/>
      <c r="IJ227" s="421"/>
      <c r="IK227" s="413"/>
      <c r="IL227" s="414"/>
      <c r="IM227" s="414"/>
      <c r="IN227" s="414"/>
      <c r="IO227" s="411"/>
      <c r="IP227" s="411"/>
      <c r="IQ227" s="411"/>
      <c r="IR227" s="421"/>
      <c r="IS227" s="413"/>
      <c r="IT227" s="414"/>
      <c r="IU227" s="414"/>
      <c r="IV227" s="414"/>
    </row>
    <row r="228" spans="1:256" ht="44.25" customHeight="1">
      <c r="A228" s="434" t="s">
        <v>392</v>
      </c>
      <c r="B228" s="434"/>
      <c r="C228" s="434"/>
      <c r="D228" s="434"/>
      <c r="E228" s="434"/>
      <c r="F228" s="434"/>
      <c r="G228" s="434"/>
      <c r="H228" s="434"/>
      <c r="I228" s="435"/>
    </row>
    <row r="229" spans="1:256" ht="44.25" customHeight="1">
      <c r="A229" s="579" t="s">
        <v>257</v>
      </c>
      <c r="B229" s="580"/>
      <c r="C229" s="400" t="s">
        <v>151</v>
      </c>
      <c r="D229" s="400"/>
      <c r="E229" s="400" t="s">
        <v>152</v>
      </c>
      <c r="F229" s="400"/>
      <c r="G229" s="338" t="s">
        <v>150</v>
      </c>
      <c r="H229" s="339"/>
      <c r="I229" s="340"/>
    </row>
    <row r="230" spans="1:256" ht="39.75" customHeight="1">
      <c r="A230" s="360" t="s">
        <v>249</v>
      </c>
      <c r="B230" s="361"/>
      <c r="C230" s="377" t="s">
        <v>194</v>
      </c>
      <c r="D230" s="377"/>
      <c r="E230" s="341">
        <v>0</v>
      </c>
      <c r="F230" s="341"/>
      <c r="G230" s="335">
        <f>ROUND((1/1200)*E230,2)</f>
        <v>0</v>
      </c>
      <c r="H230" s="336"/>
      <c r="I230" s="337"/>
    </row>
    <row r="231" spans="1:256" ht="42" customHeight="1">
      <c r="A231" s="360" t="s">
        <v>236</v>
      </c>
      <c r="B231" s="361"/>
      <c r="C231" s="377" t="s">
        <v>191</v>
      </c>
      <c r="D231" s="377"/>
      <c r="E231" s="341">
        <v>0</v>
      </c>
      <c r="F231" s="341"/>
      <c r="G231" s="341">
        <f>ROUND((1/1200)*E231,2)</f>
        <v>0</v>
      </c>
      <c r="H231" s="341"/>
      <c r="I231" s="397"/>
      <c r="J231" s="17"/>
    </row>
    <row r="232" spans="1:256" ht="16.5" customHeight="1">
      <c r="A232" s="370" t="s">
        <v>134</v>
      </c>
      <c r="B232" s="371"/>
      <c r="C232" s="372"/>
      <c r="D232" s="372"/>
      <c r="E232" s="372"/>
      <c r="F232" s="373"/>
      <c r="G232" s="357">
        <f>SUM(G230+G231)</f>
        <v>0</v>
      </c>
      <c r="H232" s="358"/>
      <c r="I232" s="340"/>
      <c r="J232" s="17"/>
    </row>
    <row r="233" spans="1:256" ht="8.25" customHeight="1">
      <c r="A233" s="378"/>
      <c r="B233" s="379"/>
      <c r="C233" s="380"/>
      <c r="D233" s="380"/>
      <c r="E233" s="380"/>
      <c r="F233" s="380"/>
      <c r="G233" s="380"/>
      <c r="H233" s="380"/>
      <c r="I233" s="337"/>
    </row>
    <row r="234" spans="1:256" ht="27.75" customHeight="1">
      <c r="A234" s="436" t="s">
        <v>250</v>
      </c>
      <c r="B234" s="437"/>
      <c r="C234" s="369" t="s">
        <v>195</v>
      </c>
      <c r="D234" s="369"/>
      <c r="E234" s="344">
        <v>0</v>
      </c>
      <c r="F234" s="344"/>
      <c r="G234" s="335">
        <f>ROUND((1/1200)*E234,2)</f>
        <v>0</v>
      </c>
      <c r="H234" s="336"/>
      <c r="I234" s="337"/>
    </row>
    <row r="235" spans="1:256" ht="27" customHeight="1">
      <c r="A235" s="360" t="s">
        <v>237</v>
      </c>
      <c r="B235" s="361"/>
      <c r="C235" s="381" t="s">
        <v>196</v>
      </c>
      <c r="D235" s="382"/>
      <c r="E235" s="341">
        <v>0</v>
      </c>
      <c r="F235" s="341"/>
      <c r="G235" s="335">
        <f>ROUND((1/6000)*E235,2)</f>
        <v>0</v>
      </c>
      <c r="H235" s="336"/>
      <c r="I235" s="337"/>
    </row>
    <row r="236" spans="1:256" ht="16.5" customHeight="1">
      <c r="A236" s="370" t="s">
        <v>134</v>
      </c>
      <c r="B236" s="371"/>
      <c r="C236" s="372"/>
      <c r="D236" s="372"/>
      <c r="E236" s="372"/>
      <c r="F236" s="373"/>
      <c r="G236" s="357">
        <f>SUM(G234+G235)</f>
        <v>0</v>
      </c>
      <c r="H236" s="358"/>
      <c r="I236" s="340"/>
    </row>
    <row r="237" spans="1:256" ht="7.5" customHeight="1">
      <c r="A237" s="374"/>
      <c r="B237" s="375"/>
      <c r="C237" s="376"/>
      <c r="D237" s="376"/>
      <c r="E237" s="376"/>
      <c r="F237" s="376"/>
      <c r="G237" s="376"/>
      <c r="H237" s="376"/>
      <c r="I237" s="337"/>
    </row>
    <row r="238" spans="1:256" ht="34.5" customHeight="1">
      <c r="A238" s="404" t="s">
        <v>251</v>
      </c>
      <c r="B238" s="404"/>
      <c r="C238" s="369" t="s">
        <v>194</v>
      </c>
      <c r="D238" s="369"/>
      <c r="E238" s="344">
        <v>0</v>
      </c>
      <c r="F238" s="344"/>
      <c r="G238" s="341">
        <f>ROUND((1/1200)*E238,2)</f>
        <v>0</v>
      </c>
      <c r="H238" s="341"/>
      <c r="I238" s="397"/>
    </row>
    <row r="239" spans="1:256" ht="30" customHeight="1">
      <c r="A239" s="428" t="s">
        <v>238</v>
      </c>
      <c r="B239" s="428"/>
      <c r="C239" s="377" t="s">
        <v>191</v>
      </c>
      <c r="D239" s="377"/>
      <c r="E239" s="341">
        <v>0</v>
      </c>
      <c r="F239" s="341"/>
      <c r="G239" s="335">
        <f>ROUND((1/1200)*E239,2)</f>
        <v>0</v>
      </c>
      <c r="H239" s="336"/>
      <c r="I239" s="337"/>
    </row>
    <row r="240" spans="1:256" ht="15.75" customHeight="1">
      <c r="A240" s="370" t="s">
        <v>134</v>
      </c>
      <c r="B240" s="371"/>
      <c r="C240" s="372"/>
      <c r="D240" s="372"/>
      <c r="E240" s="372"/>
      <c r="F240" s="373"/>
      <c r="G240" s="357">
        <f>SUM(G238+G239)</f>
        <v>0</v>
      </c>
      <c r="H240" s="358"/>
      <c r="I240" s="340"/>
    </row>
    <row r="241" spans="1:9" ht="6.75" customHeight="1">
      <c r="A241" s="374"/>
      <c r="B241" s="375"/>
      <c r="C241" s="376"/>
      <c r="D241" s="376"/>
      <c r="E241" s="376"/>
      <c r="F241" s="376"/>
      <c r="G241" s="376"/>
      <c r="H241" s="376"/>
      <c r="I241" s="337"/>
    </row>
    <row r="242" spans="1:9" ht="36" customHeight="1">
      <c r="A242" s="404" t="s">
        <v>213</v>
      </c>
      <c r="B242" s="404"/>
      <c r="C242" s="369" t="s">
        <v>194</v>
      </c>
      <c r="D242" s="369"/>
      <c r="E242" s="344">
        <v>0</v>
      </c>
      <c r="F242" s="344"/>
      <c r="G242" s="335">
        <f>ROUND((1/1200)*E242,2)</f>
        <v>0</v>
      </c>
      <c r="H242" s="336"/>
      <c r="I242" s="337"/>
    </row>
    <row r="243" spans="1:9" ht="36" customHeight="1">
      <c r="A243" s="428" t="s">
        <v>239</v>
      </c>
      <c r="B243" s="428"/>
      <c r="C243" s="377" t="s">
        <v>191</v>
      </c>
      <c r="D243" s="377"/>
      <c r="E243" s="341">
        <v>0</v>
      </c>
      <c r="F243" s="341"/>
      <c r="G243" s="335">
        <f>ROUND((1/1200)*E243,2)</f>
        <v>0</v>
      </c>
      <c r="H243" s="336"/>
      <c r="I243" s="337"/>
    </row>
    <row r="244" spans="1:9" ht="13.5" customHeight="1">
      <c r="A244" s="370" t="s">
        <v>134</v>
      </c>
      <c r="B244" s="371"/>
      <c r="C244" s="372"/>
      <c r="D244" s="372"/>
      <c r="E244" s="372"/>
      <c r="F244" s="373"/>
      <c r="G244" s="357">
        <f>SUM(G242+G243)</f>
        <v>0</v>
      </c>
      <c r="H244" s="358"/>
      <c r="I244" s="340"/>
    </row>
    <row r="245" spans="1:9" ht="6.75" customHeight="1">
      <c r="A245" s="448"/>
      <c r="B245" s="449"/>
      <c r="C245" s="376"/>
      <c r="D245" s="376"/>
      <c r="E245" s="376"/>
      <c r="F245" s="376"/>
      <c r="G245" s="376"/>
      <c r="H245" s="376"/>
      <c r="I245" s="337"/>
    </row>
    <row r="246" spans="1:9" ht="30.75" customHeight="1">
      <c r="A246" s="404" t="s">
        <v>252</v>
      </c>
      <c r="B246" s="404"/>
      <c r="C246" s="369" t="s">
        <v>194</v>
      </c>
      <c r="D246" s="369"/>
      <c r="E246" s="344">
        <v>0</v>
      </c>
      <c r="F246" s="344"/>
      <c r="G246" s="335">
        <f>ROUND((1/1200)*E246,2)</f>
        <v>0</v>
      </c>
      <c r="H246" s="336"/>
      <c r="I246" s="337"/>
    </row>
    <row r="247" spans="1:9" ht="28.5" customHeight="1">
      <c r="A247" s="429" t="s">
        <v>240</v>
      </c>
      <c r="B247" s="429"/>
      <c r="C247" s="377" t="s">
        <v>191</v>
      </c>
      <c r="D247" s="377"/>
      <c r="E247" s="430">
        <v>0</v>
      </c>
      <c r="F247" s="430"/>
      <c r="G247" s="335">
        <f>ROUND((1/1200)*E247,2)</f>
        <v>0</v>
      </c>
      <c r="H247" s="336"/>
      <c r="I247" s="337"/>
    </row>
    <row r="248" spans="1:9" ht="18" customHeight="1">
      <c r="A248" s="385" t="s">
        <v>134</v>
      </c>
      <c r="B248" s="386"/>
      <c r="C248" s="387"/>
      <c r="D248" s="387"/>
      <c r="E248" s="387"/>
      <c r="F248" s="396"/>
      <c r="G248" s="401">
        <f>SUM(G246+G247)</f>
        <v>0</v>
      </c>
      <c r="H248" s="402"/>
      <c r="I248" s="403"/>
    </row>
    <row r="249" spans="1:9" ht="12.75">
      <c r="A249" s="374"/>
      <c r="B249" s="375"/>
      <c r="C249" s="376"/>
      <c r="D249" s="376"/>
      <c r="E249" s="376"/>
      <c r="F249" s="376"/>
      <c r="G249" s="376"/>
      <c r="H249" s="376"/>
      <c r="I249" s="337"/>
    </row>
    <row r="250" spans="1:9" ht="39.75" customHeight="1">
      <c r="A250" s="404" t="s">
        <v>253</v>
      </c>
      <c r="B250" s="404"/>
      <c r="C250" s="369" t="s">
        <v>197</v>
      </c>
      <c r="D250" s="369"/>
      <c r="E250" s="344">
        <v>0</v>
      </c>
      <c r="F250" s="344"/>
      <c r="G250" s="335">
        <f>ROUND((1/1200)*E250,2)</f>
        <v>0</v>
      </c>
      <c r="H250" s="336"/>
      <c r="I250" s="337"/>
    </row>
    <row r="251" spans="1:9" ht="36.75" customHeight="1">
      <c r="A251" s="428" t="s">
        <v>241</v>
      </c>
      <c r="B251" s="428"/>
      <c r="C251" s="377" t="s">
        <v>198</v>
      </c>
      <c r="D251" s="377"/>
      <c r="E251" s="341">
        <v>0</v>
      </c>
      <c r="F251" s="341"/>
      <c r="G251" s="335">
        <f>ROUND((1/100000)*E251,2)</f>
        <v>0</v>
      </c>
      <c r="H251" s="336"/>
      <c r="I251" s="337"/>
    </row>
    <row r="252" spans="1:9" ht="15.75" customHeight="1">
      <c r="A252" s="370" t="s">
        <v>134</v>
      </c>
      <c r="B252" s="371"/>
      <c r="C252" s="372"/>
      <c r="D252" s="372"/>
      <c r="E252" s="372"/>
      <c r="F252" s="373"/>
      <c r="G252" s="357">
        <f>SUM(G250+G251)</f>
        <v>0</v>
      </c>
      <c r="H252" s="358"/>
      <c r="I252" s="340"/>
    </row>
    <row r="253" spans="1:9" ht="12.75">
      <c r="A253" s="374"/>
      <c r="B253" s="375"/>
      <c r="C253" s="376"/>
      <c r="D253" s="376"/>
      <c r="E253" s="376"/>
      <c r="F253" s="376"/>
      <c r="G253" s="376"/>
      <c r="H253" s="376"/>
      <c r="I253" s="337"/>
    </row>
    <row r="254" spans="1:9" ht="12" customHeight="1">
      <c r="A254" s="422" t="s">
        <v>398</v>
      </c>
      <c r="B254" s="423"/>
      <c r="C254" s="423"/>
      <c r="D254" s="423"/>
      <c r="E254" s="423"/>
      <c r="F254" s="423"/>
      <c r="G254" s="423"/>
      <c r="H254" s="423"/>
      <c r="I254" s="424"/>
    </row>
    <row r="255" spans="1:9" ht="36.75" customHeight="1">
      <c r="A255" s="425"/>
      <c r="B255" s="426"/>
      <c r="C255" s="426"/>
      <c r="D255" s="426"/>
      <c r="E255" s="426"/>
      <c r="F255" s="426"/>
      <c r="G255" s="426"/>
      <c r="H255" s="426"/>
      <c r="I255" s="427"/>
    </row>
    <row r="256" spans="1:9" ht="69" customHeight="1">
      <c r="A256" s="36" t="s">
        <v>199</v>
      </c>
      <c r="B256" s="35" t="s">
        <v>200</v>
      </c>
      <c r="C256" s="35" t="s">
        <v>135</v>
      </c>
      <c r="D256" s="400" t="s">
        <v>147</v>
      </c>
      <c r="E256" s="400"/>
      <c r="F256" s="35" t="s">
        <v>399</v>
      </c>
      <c r="G256" s="35" t="s">
        <v>201</v>
      </c>
      <c r="H256" s="338" t="s">
        <v>332</v>
      </c>
      <c r="I256" s="399"/>
    </row>
    <row r="257" spans="1:9" ht="63" customHeight="1">
      <c r="A257" s="79" t="s">
        <v>254</v>
      </c>
      <c r="B257" s="27" t="s">
        <v>202</v>
      </c>
      <c r="C257" s="28" t="s">
        <v>309</v>
      </c>
      <c r="D257" s="405" t="s">
        <v>153</v>
      </c>
      <c r="E257" s="405"/>
      <c r="F257" s="29">
        <f>ROUND((1/(30*110))*16*(1/191.4),7)</f>
        <v>2.5299999999999998E-5</v>
      </c>
      <c r="G257" s="34">
        <v>0</v>
      </c>
      <c r="H257" s="335">
        <v>0</v>
      </c>
      <c r="I257" s="398"/>
    </row>
    <row r="258" spans="1:9" ht="51">
      <c r="A258" s="79" t="s">
        <v>242</v>
      </c>
      <c r="B258" s="27" t="s">
        <v>203</v>
      </c>
      <c r="C258" s="28" t="s">
        <v>309</v>
      </c>
      <c r="D258" s="405" t="s">
        <v>153</v>
      </c>
      <c r="E258" s="405"/>
      <c r="F258" s="29">
        <f>ROUND((1/110)*16*(1/191.4),7)</f>
        <v>7.6000000000000004E-4</v>
      </c>
      <c r="G258" s="34">
        <v>0</v>
      </c>
      <c r="H258" s="335">
        <f>ROUND(F258*G258,2)</f>
        <v>0</v>
      </c>
      <c r="I258" s="398"/>
    </row>
    <row r="259" spans="1:9" ht="12.75">
      <c r="A259" s="370" t="s">
        <v>134</v>
      </c>
      <c r="B259" s="371"/>
      <c r="C259" s="372"/>
      <c r="D259" s="372"/>
      <c r="E259" s="372"/>
      <c r="F259" s="372"/>
      <c r="G259" s="337"/>
      <c r="H259" s="335">
        <f>SUM(H257+H258)</f>
        <v>0</v>
      </c>
      <c r="I259" s="398"/>
    </row>
    <row r="260" spans="1:9" ht="7.5" customHeight="1">
      <c r="A260" s="406"/>
      <c r="B260" s="407"/>
      <c r="C260" s="407"/>
      <c r="D260" s="407"/>
      <c r="E260" s="407"/>
      <c r="F260" s="407"/>
      <c r="G260" s="407"/>
      <c r="H260" s="407"/>
      <c r="I260" s="408"/>
    </row>
    <row r="261" spans="1:9" ht="51">
      <c r="A261" s="79" t="s">
        <v>255</v>
      </c>
      <c r="B261" s="74" t="s">
        <v>310</v>
      </c>
      <c r="C261" s="28" t="s">
        <v>309</v>
      </c>
      <c r="D261" s="405" t="s">
        <v>153</v>
      </c>
      <c r="E261" s="405"/>
      <c r="F261" s="29">
        <f>ROUND((1/(30*220))*16*(1/191.4),7)</f>
        <v>1.27E-5</v>
      </c>
      <c r="G261" s="34">
        <v>0</v>
      </c>
      <c r="H261" s="335">
        <v>0</v>
      </c>
      <c r="I261" s="398"/>
    </row>
    <row r="262" spans="1:9" ht="51">
      <c r="A262" s="79" t="s">
        <v>243</v>
      </c>
      <c r="B262" s="27" t="s">
        <v>205</v>
      </c>
      <c r="C262" s="28" t="s">
        <v>309</v>
      </c>
      <c r="D262" s="405" t="s">
        <v>153</v>
      </c>
      <c r="E262" s="405"/>
      <c r="F262" s="29">
        <f>ROUND((1/220)*16*(1/191.4),7)</f>
        <v>3.8000000000000002E-4</v>
      </c>
      <c r="G262" s="34">
        <v>0</v>
      </c>
      <c r="H262" s="335">
        <f>ROUND(F262*G262,2)</f>
        <v>0</v>
      </c>
      <c r="I262" s="398"/>
    </row>
    <row r="263" spans="1:9" ht="12.75">
      <c r="A263" s="370" t="s">
        <v>134</v>
      </c>
      <c r="B263" s="371"/>
      <c r="C263" s="372"/>
      <c r="D263" s="372"/>
      <c r="E263" s="372"/>
      <c r="F263" s="372"/>
      <c r="G263" s="337"/>
      <c r="H263" s="335">
        <f>SUM(H261+H262)</f>
        <v>0</v>
      </c>
      <c r="I263" s="398"/>
    </row>
    <row r="264" spans="1:9" ht="6.75" customHeight="1">
      <c r="A264" s="406"/>
      <c r="B264" s="407"/>
      <c r="C264" s="407"/>
      <c r="D264" s="407"/>
      <c r="E264" s="407"/>
      <c r="F264" s="407"/>
      <c r="G264" s="407"/>
      <c r="H264" s="407"/>
      <c r="I264" s="408"/>
    </row>
    <row r="265" spans="1:9" ht="24" customHeight="1">
      <c r="A265" s="79" t="s">
        <v>256</v>
      </c>
      <c r="B265" s="27" t="s">
        <v>204</v>
      </c>
      <c r="C265" s="28" t="s">
        <v>309</v>
      </c>
      <c r="D265" s="405" t="s">
        <v>153</v>
      </c>
      <c r="E265" s="405"/>
      <c r="F265" s="29">
        <f>ROUND((1/(30*220))*16*(1/191.4),7)</f>
        <v>1.27E-5</v>
      </c>
      <c r="G265" s="34">
        <v>0</v>
      </c>
      <c r="H265" s="335">
        <v>0</v>
      </c>
      <c r="I265" s="398"/>
    </row>
    <row r="266" spans="1:9" ht="25.5">
      <c r="A266" s="79" t="s">
        <v>244</v>
      </c>
      <c r="B266" s="20" t="s">
        <v>205</v>
      </c>
      <c r="C266" s="21" t="s">
        <v>309</v>
      </c>
      <c r="D266" s="405" t="s">
        <v>153</v>
      </c>
      <c r="E266" s="405"/>
      <c r="F266" s="29">
        <f>ROUND((1/220)*16*(1/191.4),7)</f>
        <v>3.8000000000000002E-4</v>
      </c>
      <c r="G266" s="34">
        <v>0</v>
      </c>
      <c r="H266" s="335">
        <f>ROUND(F266*G266,2)</f>
        <v>0</v>
      </c>
      <c r="I266" s="398"/>
    </row>
    <row r="267" spans="1:9" ht="12.75">
      <c r="A267" s="385" t="s">
        <v>134</v>
      </c>
      <c r="B267" s="386"/>
      <c r="C267" s="387"/>
      <c r="D267" s="387"/>
      <c r="E267" s="387"/>
      <c r="F267" s="387"/>
      <c r="G267" s="388"/>
      <c r="H267" s="409">
        <f>SUM(H265+H266)</f>
        <v>0</v>
      </c>
      <c r="I267" s="398"/>
    </row>
    <row r="268" spans="1:9" ht="12.75">
      <c r="A268" s="581"/>
      <c r="B268" s="407"/>
      <c r="C268" s="407"/>
      <c r="D268" s="407"/>
      <c r="E268" s="407"/>
      <c r="F268" s="407"/>
      <c r="G268" s="407"/>
      <c r="H268" s="407"/>
      <c r="I268" s="408"/>
    </row>
    <row r="269" spans="1:9" ht="25.5" customHeight="1">
      <c r="A269" s="383" t="s">
        <v>222</v>
      </c>
      <c r="B269" s="384"/>
      <c r="C269" s="384"/>
      <c r="D269" s="384"/>
      <c r="E269" s="384"/>
      <c r="F269" s="384"/>
      <c r="G269" s="384"/>
      <c r="H269" s="384"/>
      <c r="I269" s="384"/>
    </row>
    <row r="270" spans="1:9" ht="63.75">
      <c r="A270" s="37" t="s">
        <v>163</v>
      </c>
      <c r="B270" s="37" t="s">
        <v>217</v>
      </c>
      <c r="C270" s="37" t="s">
        <v>218</v>
      </c>
      <c r="D270" s="582" t="s">
        <v>219</v>
      </c>
      <c r="E270" s="582"/>
      <c r="F270" s="37" t="s">
        <v>400</v>
      </c>
      <c r="G270" s="37" t="s">
        <v>220</v>
      </c>
      <c r="H270" s="603" t="s">
        <v>221</v>
      </c>
      <c r="I270" s="399"/>
    </row>
    <row r="271" spans="1:9" ht="12.75">
      <c r="A271" s="31" t="s">
        <v>155</v>
      </c>
      <c r="B271" s="20" t="s">
        <v>313</v>
      </c>
      <c r="C271" s="21" t="s">
        <v>312</v>
      </c>
      <c r="D271" s="587" t="s">
        <v>316</v>
      </c>
      <c r="E271" s="587"/>
      <c r="F271" s="32">
        <f>ROUND((1/(4*110))*8*(1/1148.4),7)</f>
        <v>1.5800000000000001E-5</v>
      </c>
      <c r="G271" s="33">
        <v>0</v>
      </c>
      <c r="H271" s="389">
        <f>ROUND(F271*G271,2)</f>
        <v>0</v>
      </c>
      <c r="I271" s="390"/>
    </row>
    <row r="272" spans="1:9" ht="12.75">
      <c r="A272" s="31" t="s">
        <v>154</v>
      </c>
      <c r="B272" s="20" t="s">
        <v>203</v>
      </c>
      <c r="C272" s="21" t="s">
        <v>312</v>
      </c>
      <c r="D272" s="601" t="s">
        <v>316</v>
      </c>
      <c r="E272" s="602"/>
      <c r="F272" s="32">
        <f>ROUND((1/110)*8*(1/1148.4),7)</f>
        <v>6.3299999999999994E-5</v>
      </c>
      <c r="G272" s="33">
        <v>0</v>
      </c>
      <c r="H272" s="389">
        <f>ROUND(F272*G272,2)</f>
        <v>0</v>
      </c>
      <c r="I272" s="390"/>
    </row>
    <row r="273" spans="1:9" ht="12.75">
      <c r="A273" s="492" t="s">
        <v>134</v>
      </c>
      <c r="B273" s="492"/>
      <c r="C273" s="604"/>
      <c r="D273" s="604"/>
      <c r="E273" s="604"/>
      <c r="F273" s="604"/>
      <c r="G273" s="649"/>
      <c r="H273" s="409">
        <f>SUM(H271+H272)</f>
        <v>0</v>
      </c>
      <c r="I273" s="398"/>
    </row>
    <row r="274" spans="1:9" ht="9" customHeight="1">
      <c r="A274" s="406"/>
      <c r="B274" s="407"/>
      <c r="C274" s="407"/>
      <c r="D274" s="407"/>
      <c r="E274" s="407"/>
      <c r="F274" s="407"/>
      <c r="G274" s="407"/>
      <c r="H274" s="407"/>
      <c r="I274" s="467"/>
    </row>
    <row r="275" spans="1:9" ht="12.75">
      <c r="A275" s="444" t="s">
        <v>206</v>
      </c>
      <c r="B275" s="444"/>
      <c r="C275" s="444"/>
      <c r="D275" s="444"/>
      <c r="E275" s="444"/>
      <c r="F275" s="444"/>
      <c r="G275" s="444"/>
      <c r="H275" s="444"/>
      <c r="I275" s="39"/>
    </row>
    <row r="276" spans="1:9" ht="12.75">
      <c r="A276" s="445"/>
      <c r="B276" s="445"/>
      <c r="C276" s="445"/>
      <c r="D276" s="445"/>
      <c r="E276" s="445"/>
      <c r="F276" s="445"/>
      <c r="G276" s="446"/>
      <c r="H276" s="446"/>
      <c r="I276" s="40"/>
    </row>
    <row r="277" spans="1:9" ht="12.75">
      <c r="A277" s="338" t="s">
        <v>163</v>
      </c>
      <c r="B277" s="447"/>
      <c r="C277" s="400" t="s">
        <v>148</v>
      </c>
      <c r="D277" s="338"/>
      <c r="E277" s="400" t="s">
        <v>149</v>
      </c>
      <c r="F277" s="400"/>
      <c r="G277" s="338" t="s">
        <v>150</v>
      </c>
      <c r="H277" s="339"/>
      <c r="I277" s="340"/>
    </row>
    <row r="278" spans="1:9" ht="12.75">
      <c r="A278" s="597" t="s">
        <v>155</v>
      </c>
      <c r="B278" s="598"/>
      <c r="C278" s="599" t="s">
        <v>207</v>
      </c>
      <c r="D278" s="600"/>
      <c r="E278" s="551">
        <v>0</v>
      </c>
      <c r="F278" s="552"/>
      <c r="G278" s="335">
        <v>0</v>
      </c>
      <c r="H278" s="586"/>
      <c r="I278" s="467"/>
    </row>
    <row r="279" spans="1:9" ht="12.75">
      <c r="A279" s="597" t="s">
        <v>154</v>
      </c>
      <c r="B279" s="598"/>
      <c r="C279" s="585" t="s">
        <v>187</v>
      </c>
      <c r="D279" s="586"/>
      <c r="E279" s="551">
        <v>0</v>
      </c>
      <c r="F279" s="552"/>
      <c r="G279" s="844">
        <v>0</v>
      </c>
      <c r="H279" s="600"/>
      <c r="I279" s="845"/>
    </row>
    <row r="280" spans="1:9" ht="12.75">
      <c r="A280" s="492" t="s">
        <v>134</v>
      </c>
      <c r="B280" s="492"/>
      <c r="C280" s="604"/>
      <c r="D280" s="604"/>
      <c r="E280" s="604"/>
      <c r="F280" s="604"/>
      <c r="G280" s="553">
        <f>SUM(G278+G279)</f>
        <v>0</v>
      </c>
      <c r="H280" s="554"/>
      <c r="I280" s="555"/>
    </row>
    <row r="281" spans="1:9" ht="9.75" customHeight="1">
      <c r="A281" s="556"/>
      <c r="B281" s="407"/>
      <c r="C281" s="407"/>
      <c r="D281" s="407"/>
      <c r="E281" s="407"/>
      <c r="F281" s="407"/>
      <c r="G281" s="407"/>
      <c r="H281" s="407"/>
      <c r="I281" s="467"/>
    </row>
    <row r="282" spans="1:9" ht="97.5" customHeight="1" thickBot="1">
      <c r="A282" s="557" t="s">
        <v>416</v>
      </c>
      <c r="B282" s="557"/>
      <c r="C282" s="557"/>
      <c r="D282" s="557"/>
      <c r="E282" s="557"/>
      <c r="F282" s="557"/>
      <c r="G282" s="557"/>
      <c r="H282" s="557"/>
      <c r="I282" s="557"/>
    </row>
    <row r="283" spans="1:9">
      <c r="A283" s="562" t="s">
        <v>111</v>
      </c>
      <c r="B283" s="563"/>
      <c r="C283" s="563"/>
      <c r="D283" s="563"/>
      <c r="E283" s="563"/>
      <c r="F283" s="563"/>
      <c r="G283" s="563"/>
      <c r="H283" s="563"/>
      <c r="I283" s="564"/>
    </row>
    <row r="284" spans="1:9" ht="12.75" thickBot="1">
      <c r="A284" s="565"/>
      <c r="B284" s="566"/>
      <c r="C284" s="566"/>
      <c r="D284" s="566"/>
      <c r="E284" s="566"/>
      <c r="F284" s="566"/>
      <c r="G284" s="566"/>
      <c r="H284" s="566"/>
      <c r="I284" s="567"/>
    </row>
    <row r="285" spans="1:9" ht="25.5">
      <c r="A285" s="560" t="s">
        <v>136</v>
      </c>
      <c r="B285" s="560"/>
      <c r="C285" s="560"/>
      <c r="D285" s="840" t="s">
        <v>137</v>
      </c>
      <c r="E285" s="840"/>
      <c r="F285" s="81" t="s">
        <v>208</v>
      </c>
      <c r="G285" s="841" t="s">
        <v>209</v>
      </c>
      <c r="H285" s="842"/>
      <c r="I285" s="843"/>
    </row>
    <row r="286" spans="1:9" ht="14.1" customHeight="1">
      <c r="A286" s="438" t="s">
        <v>167</v>
      </c>
      <c r="B286" s="438"/>
      <c r="C286" s="438"/>
      <c r="D286" s="558">
        <f>G206</f>
        <v>5.08</v>
      </c>
      <c r="E286" s="559"/>
      <c r="F286" s="100">
        <f t="shared" ref="F286:F292" si="1">H14</f>
        <v>300</v>
      </c>
      <c r="G286" s="487">
        <f t="shared" ref="G286:G291" si="2">ROUND(D286*F286,2)</f>
        <v>1524</v>
      </c>
      <c r="H286" s="487"/>
      <c r="I286" s="488"/>
    </row>
    <row r="287" spans="1:9" ht="14.1" customHeight="1">
      <c r="A287" s="438" t="s">
        <v>168</v>
      </c>
      <c r="B287" s="438"/>
      <c r="C287" s="438"/>
      <c r="D287" s="558">
        <f>G210</f>
        <v>0</v>
      </c>
      <c r="E287" s="559"/>
      <c r="F287" s="100">
        <f t="shared" si="1"/>
        <v>0</v>
      </c>
      <c r="G287" s="487">
        <f t="shared" si="2"/>
        <v>0</v>
      </c>
      <c r="H287" s="487"/>
      <c r="I287" s="488"/>
    </row>
    <row r="288" spans="1:9" ht="14.1" customHeight="1">
      <c r="A288" s="438" t="s">
        <v>417</v>
      </c>
      <c r="B288" s="438"/>
      <c r="C288" s="438"/>
      <c r="D288" s="558">
        <f>G213</f>
        <v>10.16</v>
      </c>
      <c r="E288" s="559"/>
      <c r="F288" s="100">
        <f t="shared" si="1"/>
        <v>150</v>
      </c>
      <c r="G288" s="487">
        <f>ROUND(D288*F288,2)</f>
        <v>1524</v>
      </c>
      <c r="H288" s="487"/>
      <c r="I288" s="488"/>
    </row>
    <row r="289" spans="1:11" ht="14.1" customHeight="1">
      <c r="A289" s="568" t="s">
        <v>170</v>
      </c>
      <c r="B289" s="569"/>
      <c r="C289" s="570"/>
      <c r="D289" s="558">
        <f>G218</f>
        <v>0</v>
      </c>
      <c r="E289" s="559"/>
      <c r="F289" s="100">
        <f t="shared" si="1"/>
        <v>0</v>
      </c>
      <c r="G289" s="487">
        <f t="shared" si="2"/>
        <v>0</v>
      </c>
      <c r="H289" s="487"/>
      <c r="I289" s="488"/>
    </row>
    <row r="290" spans="1:11" ht="14.1" customHeight="1">
      <c r="A290" s="438" t="s">
        <v>171</v>
      </c>
      <c r="B290" s="438"/>
      <c r="C290" s="438"/>
      <c r="D290" s="558">
        <v>0</v>
      </c>
      <c r="E290" s="559"/>
      <c r="F290" s="100">
        <f t="shared" si="1"/>
        <v>0</v>
      </c>
      <c r="G290" s="487">
        <f t="shared" si="2"/>
        <v>0</v>
      </c>
      <c r="H290" s="487"/>
      <c r="I290" s="488"/>
      <c r="J290" s="1">
        <f>9.96*F288</f>
        <v>1494.0000000000002</v>
      </c>
    </row>
    <row r="291" spans="1:11" ht="27" customHeight="1">
      <c r="A291" s="809" t="s">
        <v>172</v>
      </c>
      <c r="B291" s="838"/>
      <c r="C291" s="839"/>
      <c r="D291" s="558">
        <f>G226</f>
        <v>0</v>
      </c>
      <c r="E291" s="559"/>
      <c r="F291" s="100">
        <f t="shared" si="1"/>
        <v>0</v>
      </c>
      <c r="G291" s="487">
        <f t="shared" si="2"/>
        <v>0</v>
      </c>
      <c r="H291" s="487"/>
      <c r="I291" s="488"/>
    </row>
    <row r="292" spans="1:11" ht="16.5" customHeight="1">
      <c r="A292" s="782" t="s">
        <v>173</v>
      </c>
      <c r="B292" s="820"/>
      <c r="C292" s="820"/>
      <c r="D292" s="820"/>
      <c r="E292" s="821"/>
      <c r="F292" s="80">
        <f t="shared" si="1"/>
        <v>450</v>
      </c>
      <c r="G292" s="394">
        <f>SUM(G286:G291)</f>
        <v>3048</v>
      </c>
      <c r="H292" s="395"/>
      <c r="I292" s="396"/>
    </row>
    <row r="293" spans="1:11" ht="6.75" customHeight="1">
      <c r="A293" s="571"/>
      <c r="B293" s="572"/>
      <c r="C293" s="572"/>
      <c r="D293" s="572"/>
      <c r="E293" s="572"/>
      <c r="F293" s="572"/>
      <c r="G293" s="572"/>
      <c r="H293" s="572"/>
      <c r="I293" s="573"/>
    </row>
    <row r="294" spans="1:11" ht="24" customHeight="1">
      <c r="A294" s="819" t="s">
        <v>174</v>
      </c>
      <c r="B294" s="819"/>
      <c r="C294" s="819"/>
      <c r="D294" s="780">
        <f>G231</f>
        <v>0</v>
      </c>
      <c r="E294" s="781"/>
      <c r="F294" s="101">
        <f t="shared" ref="F294:F300" si="3">H22</f>
        <v>0</v>
      </c>
      <c r="G294" s="391">
        <f t="shared" ref="G294:G299" si="4">ROUND(D294*F294,2)</f>
        <v>0</v>
      </c>
      <c r="H294" s="392"/>
      <c r="I294" s="393"/>
    </row>
    <row r="295" spans="1:11" ht="27.75" customHeight="1">
      <c r="A295" s="383" t="s">
        <v>93</v>
      </c>
      <c r="B295" s="383"/>
      <c r="C295" s="383"/>
      <c r="D295" s="442">
        <f>G235</f>
        <v>0</v>
      </c>
      <c r="E295" s="443"/>
      <c r="F295" s="102">
        <f t="shared" si="3"/>
        <v>0</v>
      </c>
      <c r="G295" s="391">
        <f t="shared" si="4"/>
        <v>0</v>
      </c>
      <c r="H295" s="392"/>
      <c r="I295" s="393"/>
    </row>
    <row r="296" spans="1:11" ht="25.5" customHeight="1">
      <c r="A296" s="383" t="s">
        <v>94</v>
      </c>
      <c r="B296" s="383"/>
      <c r="C296" s="383"/>
      <c r="D296" s="442">
        <f>G239</f>
        <v>0</v>
      </c>
      <c r="E296" s="443"/>
      <c r="F296" s="102">
        <f t="shared" si="3"/>
        <v>0</v>
      </c>
      <c r="G296" s="391">
        <f t="shared" si="4"/>
        <v>0</v>
      </c>
      <c r="H296" s="392"/>
      <c r="I296" s="393"/>
    </row>
    <row r="297" spans="1:11" ht="24" customHeight="1">
      <c r="A297" s="383" t="s">
        <v>95</v>
      </c>
      <c r="B297" s="383"/>
      <c r="C297" s="383"/>
      <c r="D297" s="442">
        <f>G243</f>
        <v>0</v>
      </c>
      <c r="E297" s="443"/>
      <c r="F297" s="102">
        <f t="shared" si="3"/>
        <v>0</v>
      </c>
      <c r="G297" s="391">
        <f t="shared" si="4"/>
        <v>0</v>
      </c>
      <c r="H297" s="392"/>
      <c r="I297" s="393"/>
    </row>
    <row r="298" spans="1:11" ht="27" customHeight="1">
      <c r="A298" s="383" t="s">
        <v>96</v>
      </c>
      <c r="B298" s="383"/>
      <c r="C298" s="383"/>
      <c r="D298" s="442">
        <f>G247</f>
        <v>0</v>
      </c>
      <c r="E298" s="443"/>
      <c r="F298" s="102">
        <f t="shared" si="3"/>
        <v>0</v>
      </c>
      <c r="G298" s="391">
        <f t="shared" si="4"/>
        <v>0</v>
      </c>
      <c r="H298" s="392"/>
      <c r="I298" s="393"/>
    </row>
    <row r="299" spans="1:11" ht="26.25" customHeight="1">
      <c r="A299" s="383" t="s">
        <v>97</v>
      </c>
      <c r="B299" s="383"/>
      <c r="C299" s="383"/>
      <c r="D299" s="442">
        <f>G251</f>
        <v>0</v>
      </c>
      <c r="E299" s="443"/>
      <c r="F299" s="102">
        <f t="shared" si="3"/>
        <v>0</v>
      </c>
      <c r="G299" s="391">
        <f t="shared" si="4"/>
        <v>0</v>
      </c>
      <c r="H299" s="392"/>
      <c r="I299" s="393"/>
      <c r="K299" s="1">
        <f>K295</f>
        <v>0</v>
      </c>
    </row>
    <row r="300" spans="1:11" ht="12.75" customHeight="1">
      <c r="A300" s="782" t="s">
        <v>180</v>
      </c>
      <c r="B300" s="820"/>
      <c r="C300" s="820"/>
      <c r="D300" s="820"/>
      <c r="E300" s="821"/>
      <c r="F300" s="82">
        <f t="shared" si="3"/>
        <v>0</v>
      </c>
      <c r="G300" s="394">
        <f>SUM(G294:G299)</f>
        <v>0</v>
      </c>
      <c r="H300" s="395"/>
      <c r="I300" s="396"/>
    </row>
    <row r="301" spans="1:11" ht="9" customHeight="1">
      <c r="A301" s="574"/>
      <c r="B301" s="575"/>
      <c r="C301" s="575"/>
      <c r="D301" s="575"/>
      <c r="E301" s="575"/>
      <c r="F301" s="575"/>
      <c r="G301" s="575"/>
      <c r="H301" s="575"/>
      <c r="I301" s="573"/>
    </row>
    <row r="302" spans="1:11" ht="25.5" customHeight="1">
      <c r="A302" s="803" t="s">
        <v>181</v>
      </c>
      <c r="B302" s="804"/>
      <c r="C302" s="805"/>
      <c r="D302" s="780">
        <f>H258</f>
        <v>0</v>
      </c>
      <c r="E302" s="781"/>
      <c r="F302" s="49">
        <f>H30</f>
        <v>0</v>
      </c>
      <c r="G302" s="391">
        <f>ROUND(D302*F302,2)</f>
        <v>0</v>
      </c>
      <c r="H302" s="392"/>
      <c r="I302" s="393"/>
    </row>
    <row r="303" spans="1:11" ht="24" customHeight="1">
      <c r="A303" s="440" t="s">
        <v>98</v>
      </c>
      <c r="B303" s="434"/>
      <c r="C303" s="441"/>
      <c r="D303" s="442">
        <f>H262</f>
        <v>0</v>
      </c>
      <c r="E303" s="443"/>
      <c r="F303" s="100">
        <f>H31</f>
        <v>0</v>
      </c>
      <c r="G303" s="391">
        <f>ROUND((D303*F303),2)</f>
        <v>0</v>
      </c>
      <c r="H303" s="392"/>
      <c r="I303" s="393"/>
    </row>
    <row r="304" spans="1:11" ht="14.1" customHeight="1">
      <c r="A304" s="440" t="s">
        <v>99</v>
      </c>
      <c r="B304" s="434"/>
      <c r="C304" s="441"/>
      <c r="D304" s="442">
        <f>H266</f>
        <v>0</v>
      </c>
      <c r="E304" s="443"/>
      <c r="F304" s="100">
        <f>H32</f>
        <v>0</v>
      </c>
      <c r="G304" s="391">
        <f>ROUND((D304*F304),2)</f>
        <v>0</v>
      </c>
      <c r="H304" s="392"/>
      <c r="I304" s="393"/>
    </row>
    <row r="305" spans="1:9" ht="12.75">
      <c r="A305" s="782" t="s">
        <v>210</v>
      </c>
      <c r="B305" s="820"/>
      <c r="C305" s="820"/>
      <c r="D305" s="824"/>
      <c r="E305" s="825"/>
      <c r="F305" s="80">
        <f>H33</f>
        <v>0</v>
      </c>
      <c r="G305" s="394">
        <f>SUM(G302:G304)</f>
        <v>0</v>
      </c>
      <c r="H305" s="395"/>
      <c r="I305" s="396"/>
    </row>
    <row r="306" spans="1:9" ht="8.25" customHeight="1">
      <c r="A306" s="574"/>
      <c r="B306" s="572"/>
      <c r="C306" s="572"/>
      <c r="D306" s="572"/>
      <c r="E306" s="572"/>
      <c r="F306" s="572"/>
      <c r="G306" s="572"/>
      <c r="H306" s="572"/>
      <c r="I306" s="573"/>
    </row>
    <row r="307" spans="1:9" ht="14.1" customHeight="1">
      <c r="A307" s="790" t="s">
        <v>214</v>
      </c>
      <c r="B307" s="791"/>
      <c r="C307" s="792"/>
      <c r="D307" s="786">
        <f>H272</f>
        <v>0</v>
      </c>
      <c r="E307" s="787"/>
      <c r="F307" s="50">
        <f>H36</f>
        <v>0</v>
      </c>
      <c r="G307" s="583">
        <f>ROUND((D307*F307),2)</f>
        <v>0</v>
      </c>
      <c r="H307" s="371"/>
      <c r="I307" s="393"/>
    </row>
    <row r="308" spans="1:9" ht="12.75">
      <c r="A308" s="782" t="s">
        <v>223</v>
      </c>
      <c r="B308" s="783"/>
      <c r="C308" s="783"/>
      <c r="D308" s="784"/>
      <c r="E308" s="785"/>
      <c r="F308" s="80">
        <f>F307</f>
        <v>0</v>
      </c>
      <c r="G308" s="394">
        <f>G307</f>
        <v>0</v>
      </c>
      <c r="H308" s="387"/>
      <c r="I308" s="396"/>
    </row>
    <row r="309" spans="1:9" ht="6.75" customHeight="1">
      <c r="A309" s="574"/>
      <c r="B309" s="817"/>
      <c r="C309" s="817"/>
      <c r="D309" s="572"/>
      <c r="E309" s="572"/>
      <c r="F309" s="572"/>
      <c r="G309" s="572"/>
      <c r="H309" s="572"/>
      <c r="I309" s="573"/>
    </row>
    <row r="310" spans="1:9" ht="14.1" customHeight="1">
      <c r="A310" s="833" t="s">
        <v>184</v>
      </c>
      <c r="B310" s="445"/>
      <c r="C310" s="834"/>
      <c r="D310" s="835"/>
      <c r="E310" s="836"/>
      <c r="F310" s="49">
        <v>0</v>
      </c>
      <c r="G310" s="391">
        <v>0</v>
      </c>
      <c r="H310" s="392"/>
      <c r="I310" s="393"/>
    </row>
    <row r="311" spans="1:9" ht="14.1" customHeight="1">
      <c r="A311" s="826" t="s">
        <v>211</v>
      </c>
      <c r="B311" s="827"/>
      <c r="C311" s="827"/>
      <c r="D311" s="828"/>
      <c r="E311" s="829"/>
      <c r="F311" s="22">
        <f>H37</f>
        <v>0</v>
      </c>
      <c r="G311" s="583">
        <f>H310</f>
        <v>0</v>
      </c>
      <c r="H311" s="577"/>
      <c r="I311" s="373"/>
    </row>
    <row r="312" spans="1:9" ht="7.5" customHeight="1">
      <c r="A312" s="837"/>
      <c r="B312" s="407"/>
      <c r="C312" s="407"/>
      <c r="D312" s="407"/>
      <c r="E312" s="407"/>
      <c r="F312" s="407"/>
      <c r="G312" s="407"/>
      <c r="H312" s="407"/>
      <c r="I312" s="408"/>
    </row>
    <row r="313" spans="1:9" ht="12.75">
      <c r="A313" s="809" t="s">
        <v>92</v>
      </c>
      <c r="B313" s="810"/>
      <c r="C313" s="810"/>
      <c r="D313" s="811"/>
      <c r="E313" s="812"/>
      <c r="F313" s="100">
        <f>H39</f>
        <v>0</v>
      </c>
      <c r="G313" s="391">
        <f>H313</f>
        <v>0</v>
      </c>
      <c r="H313" s="392"/>
      <c r="I313" s="818"/>
    </row>
    <row r="314" spans="1:9" ht="12.75">
      <c r="A314" s="813" t="s">
        <v>90</v>
      </c>
      <c r="B314" s="814"/>
      <c r="C314" s="814"/>
      <c r="D314" s="814"/>
      <c r="E314" s="814"/>
      <c r="F314" s="118">
        <v>0</v>
      </c>
      <c r="G314" s="577">
        <f>G313</f>
        <v>0</v>
      </c>
      <c r="H314" s="372"/>
      <c r="I314" s="373"/>
    </row>
    <row r="315" spans="1:9" ht="7.5" customHeight="1">
      <c r="A315" s="806"/>
      <c r="B315" s="807"/>
      <c r="C315" s="807"/>
      <c r="D315" s="808"/>
      <c r="E315" s="808"/>
      <c r="F315" s="808"/>
      <c r="G315" s="808"/>
      <c r="H315" s="808"/>
      <c r="I315" s="467"/>
    </row>
    <row r="316" spans="1:9" ht="12.75">
      <c r="A316" s="815" t="s">
        <v>134</v>
      </c>
      <c r="B316" s="815"/>
      <c r="C316" s="815"/>
      <c r="D316" s="815"/>
      <c r="E316" s="816"/>
      <c r="F316" s="50">
        <f>ROUND(F292+F300+F305+F308+F311 + F314,2)</f>
        <v>450</v>
      </c>
      <c r="G316" s="583">
        <f>SUM(G292+G300+G305+G308+G311 + G314)</f>
        <v>3048</v>
      </c>
      <c r="H316" s="577"/>
      <c r="I316" s="373"/>
    </row>
    <row r="317" spans="1:9" ht="6.75" customHeight="1">
      <c r="A317" s="830"/>
      <c r="B317" s="831"/>
      <c r="C317" s="831"/>
      <c r="D317" s="831"/>
      <c r="E317" s="831"/>
      <c r="F317" s="831"/>
      <c r="G317" s="831"/>
      <c r="H317" s="831"/>
      <c r="I317" s="832"/>
    </row>
    <row r="318" spans="1:9" ht="18.75" customHeight="1">
      <c r="A318" s="450" t="s">
        <v>124</v>
      </c>
      <c r="B318" s="450"/>
      <c r="C318" s="450"/>
      <c r="D318" s="450"/>
      <c r="E318" s="450"/>
      <c r="F318" s="450"/>
      <c r="G318" s="451">
        <f>G316</f>
        <v>3048</v>
      </c>
      <c r="H318" s="452"/>
      <c r="I318" s="453"/>
    </row>
    <row r="319" spans="1:9" ht="8.25" customHeight="1">
      <c r="A319" s="822"/>
      <c r="B319" s="823"/>
      <c r="C319" s="823"/>
      <c r="D319" s="823"/>
      <c r="E319" s="823"/>
      <c r="F319" s="823"/>
      <c r="G319" s="823"/>
      <c r="H319" s="823"/>
      <c r="I319" s="823"/>
    </row>
    <row r="320" spans="1:9" ht="19.5" customHeight="1">
      <c r="A320" s="795" t="s">
        <v>314</v>
      </c>
      <c r="B320" s="796"/>
      <c r="C320" s="796"/>
      <c r="D320" s="796"/>
      <c r="E320" s="796"/>
      <c r="F320" s="797"/>
      <c r="G320" s="800">
        <f>H11</f>
        <v>12</v>
      </c>
      <c r="H320" s="801"/>
      <c r="I320" s="802"/>
    </row>
    <row r="321" spans="1:9" ht="8.25" customHeight="1">
      <c r="A321" s="798"/>
      <c r="B321" s="799"/>
      <c r="C321" s="799"/>
      <c r="D321" s="799"/>
      <c r="E321" s="799"/>
      <c r="F321" s="799"/>
      <c r="G321" s="799"/>
      <c r="H321" s="799"/>
      <c r="I321" s="799"/>
    </row>
    <row r="322" spans="1:9" ht="31.5" customHeight="1">
      <c r="A322" s="774" t="s">
        <v>315</v>
      </c>
      <c r="B322" s="775"/>
      <c r="C322" s="775"/>
      <c r="D322" s="775"/>
      <c r="E322" s="775"/>
      <c r="F322" s="776"/>
      <c r="G322" s="777">
        <f>ROUND(G316*G320,2)</f>
        <v>36576</v>
      </c>
      <c r="H322" s="778"/>
      <c r="I322" s="779"/>
    </row>
    <row r="323" spans="1:9" ht="8.25" customHeight="1">
      <c r="A323" s="788"/>
      <c r="B323" s="789"/>
      <c r="C323" s="789"/>
      <c r="D323" s="789"/>
      <c r="E323" s="789"/>
      <c r="F323" s="789"/>
      <c r="G323" s="789"/>
      <c r="H323" s="789"/>
      <c r="I323" s="340"/>
    </row>
    <row r="324" spans="1:9" ht="29.25" customHeight="1">
      <c r="A324" s="793" t="s">
        <v>320</v>
      </c>
      <c r="B324" s="794"/>
      <c r="C324" s="794"/>
      <c r="D324" s="794"/>
      <c r="E324" s="794"/>
      <c r="F324" s="794"/>
      <c r="G324" s="794"/>
      <c r="H324" s="794"/>
      <c r="I324" s="467"/>
    </row>
    <row r="325" spans="1:9">
      <c r="A325" s="766" t="s">
        <v>166</v>
      </c>
      <c r="B325" s="767"/>
      <c r="C325" s="767"/>
      <c r="D325" s="768"/>
      <c r="E325" s="768"/>
      <c r="F325" s="768"/>
      <c r="G325" s="769"/>
      <c r="H325" s="605" t="s">
        <v>158</v>
      </c>
      <c r="I325" s="606"/>
    </row>
    <row r="326" spans="1:9">
      <c r="A326" s="770"/>
      <c r="B326" s="771"/>
      <c r="C326" s="771"/>
      <c r="D326" s="772"/>
      <c r="E326" s="772"/>
      <c r="F326" s="772"/>
      <c r="G326" s="773"/>
      <c r="H326" s="607"/>
      <c r="I326" s="608"/>
    </row>
    <row r="327" spans="1:9" ht="12.75">
      <c r="A327" s="761" t="s">
        <v>154</v>
      </c>
      <c r="B327" s="762"/>
      <c r="C327" s="762"/>
      <c r="D327" s="466"/>
      <c r="E327" s="466"/>
      <c r="F327" s="466"/>
      <c r="G327" s="467"/>
      <c r="H327" s="764"/>
      <c r="I327" s="765"/>
    </row>
    <row r="328" spans="1:9" ht="12.75">
      <c r="A328" s="761" t="s">
        <v>155</v>
      </c>
      <c r="B328" s="762"/>
      <c r="C328" s="762"/>
      <c r="D328" s="466"/>
      <c r="E328" s="466"/>
      <c r="F328" s="466"/>
      <c r="G328" s="467"/>
      <c r="H328" s="764"/>
      <c r="I328" s="765"/>
    </row>
    <row r="329" spans="1:9" ht="12.75">
      <c r="A329" s="440"/>
      <c r="B329" s="434"/>
      <c r="C329" s="434"/>
      <c r="D329" s="466"/>
      <c r="E329" s="466"/>
      <c r="F329" s="466"/>
      <c r="G329" s="466"/>
      <c r="H329" s="466"/>
      <c r="I329" s="467"/>
    </row>
    <row r="330" spans="1:9" ht="9" customHeight="1">
      <c r="A330" s="760"/>
      <c r="B330" s="760"/>
      <c r="C330" s="760"/>
      <c r="D330" s="760"/>
      <c r="E330" s="760"/>
      <c r="F330" s="760"/>
      <c r="G330" s="760"/>
      <c r="H330" s="760"/>
      <c r="I330" s="474"/>
    </row>
    <row r="331" spans="1:9" hidden="1">
      <c r="A331" s="760"/>
      <c r="B331" s="760"/>
      <c r="C331" s="760"/>
      <c r="D331" s="760"/>
      <c r="E331" s="760"/>
      <c r="F331" s="760"/>
      <c r="G331" s="760"/>
      <c r="H331" s="760"/>
      <c r="I331" s="474"/>
    </row>
    <row r="332" spans="1:9" ht="27" customHeight="1">
      <c r="A332" s="759" t="s">
        <v>329</v>
      </c>
      <c r="B332" s="759"/>
      <c r="C332" s="759"/>
      <c r="D332" s="759"/>
      <c r="E332" s="759"/>
      <c r="F332" s="759"/>
      <c r="G332" s="759"/>
      <c r="H332" s="759"/>
      <c r="I332" s="474"/>
    </row>
    <row r="333" spans="1:9" ht="12.75">
      <c r="A333" s="400" t="s">
        <v>212</v>
      </c>
      <c r="B333" s="400"/>
      <c r="C333" s="400"/>
      <c r="D333" s="400"/>
      <c r="E333" s="400"/>
      <c r="F333" s="400"/>
      <c r="G333" s="400"/>
      <c r="H333" s="338" t="s">
        <v>160</v>
      </c>
      <c r="I333" s="399"/>
    </row>
    <row r="334" spans="1:9" ht="15">
      <c r="A334" s="763"/>
      <c r="B334" s="763"/>
      <c r="C334" s="763"/>
      <c r="D334" s="443"/>
      <c r="E334" s="443"/>
      <c r="F334" s="443"/>
      <c r="G334" s="443"/>
      <c r="H334" s="576"/>
      <c r="I334" s="399"/>
    </row>
    <row r="335" spans="1:9" ht="12.75">
      <c r="A335" s="438"/>
      <c r="B335" s="438"/>
      <c r="C335" s="438"/>
      <c r="D335" s="439"/>
      <c r="E335" s="439"/>
      <c r="F335" s="439"/>
      <c r="G335" s="439"/>
      <c r="H335" s="576"/>
      <c r="I335" s="399"/>
    </row>
    <row r="336" spans="1:9" ht="12.75">
      <c r="A336" s="561"/>
      <c r="B336" s="561"/>
      <c r="C336" s="561"/>
      <c r="D336" s="439"/>
      <c r="E336" s="439"/>
      <c r="F336" s="439"/>
      <c r="G336" s="439"/>
      <c r="H336" s="576"/>
      <c r="I336" s="399"/>
    </row>
    <row r="337" spans="1:9" ht="12.75">
      <c r="A337" s="30"/>
      <c r="B337" s="30"/>
      <c r="C337" s="30"/>
      <c r="D337" s="30"/>
      <c r="E337" s="30"/>
      <c r="F337" s="30"/>
      <c r="G337" s="30"/>
      <c r="H337" s="30"/>
      <c r="I337" s="43"/>
    </row>
    <row r="338" spans="1:9" ht="12.75">
      <c r="A338" s="23"/>
      <c r="B338" s="23"/>
      <c r="C338" s="23"/>
      <c r="D338" s="23"/>
      <c r="E338" s="23"/>
      <c r="F338" s="23"/>
      <c r="G338" s="23"/>
      <c r="H338" s="23"/>
      <c r="I338" s="44"/>
    </row>
    <row r="339" spans="1:9" ht="12.75">
      <c r="A339" s="23"/>
      <c r="B339" s="23"/>
      <c r="C339" s="23"/>
      <c r="D339" s="23"/>
      <c r="E339" s="23"/>
      <c r="F339" s="23"/>
      <c r="G339" s="23"/>
      <c r="H339" s="23"/>
      <c r="I339" s="44"/>
    </row>
    <row r="340" spans="1:9" ht="12.75">
      <c r="A340" s="23"/>
      <c r="B340" s="23"/>
      <c r="C340" s="23"/>
      <c r="D340" s="23"/>
      <c r="E340" s="23"/>
      <c r="F340" s="23"/>
      <c r="G340" s="23"/>
      <c r="H340" s="23"/>
      <c r="I340" s="44"/>
    </row>
    <row r="341" spans="1:9" ht="12.75">
      <c r="A341" s="23"/>
      <c r="B341" s="23"/>
      <c r="C341" s="23"/>
      <c r="D341" s="23"/>
      <c r="E341" s="23"/>
      <c r="F341" s="23"/>
      <c r="G341" s="23"/>
      <c r="H341" s="23"/>
      <c r="I341" s="44"/>
    </row>
    <row r="342" spans="1:9" ht="12.75">
      <c r="A342" s="23"/>
      <c r="B342" s="23"/>
      <c r="C342" s="23"/>
      <c r="D342" s="23"/>
      <c r="E342" s="23"/>
      <c r="F342" s="23"/>
      <c r="G342" s="23"/>
      <c r="H342" s="23"/>
      <c r="I342" s="44"/>
    </row>
    <row r="343" spans="1:9" ht="12.75">
      <c r="A343" s="23"/>
      <c r="B343" s="23"/>
      <c r="C343" s="23"/>
      <c r="D343" s="23"/>
      <c r="E343" s="23"/>
      <c r="F343" s="23"/>
      <c r="G343" s="23"/>
      <c r="H343" s="23"/>
      <c r="I343" s="44"/>
    </row>
    <row r="344" spans="1:9" ht="12.75">
      <c r="A344" s="550"/>
      <c r="B344" s="550"/>
      <c r="C344" s="550"/>
      <c r="D344" s="550"/>
      <c r="E344" s="550"/>
      <c r="F344" s="550"/>
      <c r="G344" s="550"/>
      <c r="H344" s="550"/>
      <c r="I344" s="39"/>
    </row>
    <row r="345" spans="1:9" ht="12.75">
      <c r="A345" s="584"/>
      <c r="B345" s="584"/>
      <c r="C345" s="584"/>
      <c r="D345" s="25"/>
      <c r="E345" s="578"/>
      <c r="F345" s="578"/>
      <c r="G345" s="578"/>
      <c r="H345" s="578"/>
      <c r="I345" s="42"/>
    </row>
    <row r="346" spans="1:9" ht="12.75">
      <c r="A346" s="584"/>
      <c r="B346" s="584"/>
      <c r="C346" s="584"/>
      <c r="D346" s="18"/>
      <c r="E346" s="578"/>
      <c r="F346" s="578"/>
      <c r="G346" s="578"/>
      <c r="H346" s="578"/>
      <c r="I346" s="42"/>
    </row>
    <row r="347" spans="1:9" ht="12.75">
      <c r="A347" s="584"/>
      <c r="B347" s="584"/>
      <c r="C347" s="584"/>
      <c r="D347" s="18"/>
      <c r="E347" s="578"/>
      <c r="F347" s="578"/>
      <c r="G347" s="578"/>
      <c r="H347" s="578"/>
      <c r="I347" s="42"/>
    </row>
    <row r="348" spans="1:9" ht="12.75">
      <c r="A348" s="584"/>
      <c r="B348" s="584"/>
      <c r="C348" s="584"/>
      <c r="D348" s="18"/>
      <c r="E348" s="578"/>
      <c r="F348" s="578"/>
      <c r="G348" s="578"/>
      <c r="H348" s="578"/>
      <c r="I348" s="42"/>
    </row>
    <row r="349" spans="1:9" ht="12.75">
      <c r="A349" s="584"/>
      <c r="B349" s="584"/>
      <c r="C349" s="584"/>
      <c r="D349" s="18"/>
      <c r="E349" s="578"/>
      <c r="F349" s="578"/>
      <c r="G349" s="578"/>
      <c r="H349" s="578"/>
      <c r="I349" s="42"/>
    </row>
    <row r="350" spans="1:9">
      <c r="A350" s="414"/>
      <c r="B350" s="414"/>
      <c r="C350" s="414"/>
      <c r="D350" s="414"/>
      <c r="E350" s="414"/>
      <c r="F350" s="414"/>
      <c r="G350" s="414"/>
      <c r="H350" s="414"/>
      <c r="I350" s="45"/>
    </row>
  </sheetData>
  <mergeCells count="627">
    <mergeCell ref="A238:B238"/>
    <mergeCell ref="C238:D238"/>
    <mergeCell ref="E238:F238"/>
    <mergeCell ref="G238:I238"/>
    <mergeCell ref="C235:D235"/>
    <mergeCell ref="E235:F235"/>
    <mergeCell ref="A228:I228"/>
    <mergeCell ref="G229:I229"/>
    <mergeCell ref="A246:B246"/>
    <mergeCell ref="C246:D246"/>
    <mergeCell ref="E246:F246"/>
    <mergeCell ref="G246:I246"/>
    <mergeCell ref="G236:I236"/>
    <mergeCell ref="A237:I237"/>
    <mergeCell ref="A235:B235"/>
    <mergeCell ref="GS216:GZ227"/>
    <mergeCell ref="HA216:HH227"/>
    <mergeCell ref="BE216:BL227"/>
    <mergeCell ref="BM216:BT227"/>
    <mergeCell ref="A335:G335"/>
    <mergeCell ref="G304:I304"/>
    <mergeCell ref="A304:C304"/>
    <mergeCell ref="D304:E304"/>
    <mergeCell ref="A303:C303"/>
    <mergeCell ref="D303:E303"/>
    <mergeCell ref="G305:I305"/>
    <mergeCell ref="AO216:AV227"/>
    <mergeCell ref="G302:I302"/>
    <mergeCell ref="G303:I303"/>
    <mergeCell ref="G316:I316"/>
    <mergeCell ref="G322:I322"/>
    <mergeCell ref="A319:I319"/>
    <mergeCell ref="A305:E305"/>
    <mergeCell ref="A302:C302"/>
    <mergeCell ref="D302:E302"/>
    <mergeCell ref="A308:E308"/>
    <mergeCell ref="D307:E307"/>
    <mergeCell ref="A323:I323"/>
    <mergeCell ref="A316:E316"/>
    <mergeCell ref="G204:I204"/>
    <mergeCell ref="G205:I205"/>
    <mergeCell ref="C205:D205"/>
    <mergeCell ref="IO216:IV227"/>
    <mergeCell ref="CC216:CJ227"/>
    <mergeCell ref="BU216:CB227"/>
    <mergeCell ref="HY216:IF227"/>
    <mergeCell ref="IG216:IN227"/>
    <mergeCell ref="DQ216:DX227"/>
    <mergeCell ref="DY216:EF227"/>
    <mergeCell ref="DA216:DH227"/>
    <mergeCell ref="DI216:DP227"/>
    <mergeCell ref="HQ216:HX227"/>
    <mergeCell ref="CK216:CR227"/>
    <mergeCell ref="CS216:CZ227"/>
    <mergeCell ref="GC216:GJ227"/>
    <mergeCell ref="GK216:GR227"/>
    <mergeCell ref="FM216:FT227"/>
    <mergeCell ref="FU216:GB227"/>
    <mergeCell ref="EW216:FD227"/>
    <mergeCell ref="HI216:HP227"/>
    <mergeCell ref="FE216:FL227"/>
    <mergeCell ref="EG216:EN227"/>
    <mergeCell ref="EO216:EV227"/>
    <mergeCell ref="AW216:BD227"/>
    <mergeCell ref="J216:P227"/>
    <mergeCell ref="Q216:X227"/>
    <mergeCell ref="Y216:AF227"/>
    <mergeCell ref="AG216:AN227"/>
    <mergeCell ref="A209:B209"/>
    <mergeCell ref="A214:F214"/>
    <mergeCell ref="C225:D225"/>
    <mergeCell ref="E225:F225"/>
    <mergeCell ref="A215:I215"/>
    <mergeCell ref="A216:B216"/>
    <mergeCell ref="C217:D217"/>
    <mergeCell ref="G222:I222"/>
    <mergeCell ref="G220:I220"/>
    <mergeCell ref="G221:I221"/>
    <mergeCell ref="G218:I218"/>
    <mergeCell ref="E216:F216"/>
    <mergeCell ref="G214:I214"/>
    <mergeCell ref="A211:I211"/>
    <mergeCell ref="C209:D209"/>
    <mergeCell ref="G217:I217"/>
    <mergeCell ref="E221:F221"/>
    <mergeCell ref="E224:F224"/>
    <mergeCell ref="A221:B221"/>
    <mergeCell ref="A2:I2"/>
    <mergeCell ref="A29:I29"/>
    <mergeCell ref="H30:I30"/>
    <mergeCell ref="A3:I3"/>
    <mergeCell ref="H27:I27"/>
    <mergeCell ref="H24:I24"/>
    <mergeCell ref="H25:I25"/>
    <mergeCell ref="H26:I26"/>
    <mergeCell ref="H28:I28"/>
    <mergeCell ref="H22:I22"/>
    <mergeCell ref="F25:G25"/>
    <mergeCell ref="A30:E30"/>
    <mergeCell ref="A12:I12"/>
    <mergeCell ref="A13:E13"/>
    <mergeCell ref="F13:G13"/>
    <mergeCell ref="A14:E14"/>
    <mergeCell ref="F14:G14"/>
    <mergeCell ref="A15:E15"/>
    <mergeCell ref="H14:I14"/>
    <mergeCell ref="H13:I13"/>
    <mergeCell ref="F15:G15"/>
    <mergeCell ref="A16:E16"/>
    <mergeCell ref="A17:E17"/>
    <mergeCell ref="A18:E18"/>
    <mergeCell ref="H19:I19"/>
    <mergeCell ref="H20:I20"/>
    <mergeCell ref="H35:I35"/>
    <mergeCell ref="F22:G22"/>
    <mergeCell ref="F23:G23"/>
    <mergeCell ref="F32:G32"/>
    <mergeCell ref="A33:G33"/>
    <mergeCell ref="H32:I32"/>
    <mergeCell ref="F24:G24"/>
    <mergeCell ref="A22:E22"/>
    <mergeCell ref="A23:E23"/>
    <mergeCell ref="A24:E24"/>
    <mergeCell ref="A20:G20"/>
    <mergeCell ref="H31:I31"/>
    <mergeCell ref="A21:I21"/>
    <mergeCell ref="A45:I45"/>
    <mergeCell ref="A48:I48"/>
    <mergeCell ref="A47:I47"/>
    <mergeCell ref="A49:I49"/>
    <mergeCell ref="A46:I46"/>
    <mergeCell ref="A35:E35"/>
    <mergeCell ref="F35:G35"/>
    <mergeCell ref="A32:E32"/>
    <mergeCell ref="A25:E25"/>
    <mergeCell ref="A28:G28"/>
    <mergeCell ref="H36:I36"/>
    <mergeCell ref="A36:G36"/>
    <mergeCell ref="A42:G42"/>
    <mergeCell ref="A199:I199"/>
    <mergeCell ref="A202:I202"/>
    <mergeCell ref="G203:I203"/>
    <mergeCell ref="AG49:AN49"/>
    <mergeCell ref="J49:P49"/>
    <mergeCell ref="H50:I50"/>
    <mergeCell ref="B50:G50"/>
    <mergeCell ref="Q49:X49"/>
    <mergeCell ref="Y49:AF49"/>
    <mergeCell ref="A194:I194"/>
    <mergeCell ref="B144:H144"/>
    <mergeCell ref="A139:I139"/>
    <mergeCell ref="A113:I113"/>
    <mergeCell ref="B132:H132"/>
    <mergeCell ref="A127:H127"/>
    <mergeCell ref="B121:H121"/>
    <mergeCell ref="B122:H122"/>
    <mergeCell ref="B123:H123"/>
    <mergeCell ref="B124:H124"/>
    <mergeCell ref="B131:H131"/>
    <mergeCell ref="B135:H135"/>
    <mergeCell ref="B125:H125"/>
    <mergeCell ref="A128:I128"/>
    <mergeCell ref="B133:H133"/>
    <mergeCell ref="A274:I274"/>
    <mergeCell ref="E277:F277"/>
    <mergeCell ref="A264:I264"/>
    <mergeCell ref="A263:G263"/>
    <mergeCell ref="A268:I268"/>
    <mergeCell ref="B51:G51"/>
    <mergeCell ref="B60:G60"/>
    <mergeCell ref="B61:G61"/>
    <mergeCell ref="H52:I52"/>
    <mergeCell ref="A54:I54"/>
    <mergeCell ref="H53:I53"/>
    <mergeCell ref="A203:B203"/>
    <mergeCell ref="E203:F203"/>
    <mergeCell ref="B179:H179"/>
    <mergeCell ref="A195:I195"/>
    <mergeCell ref="A196:I196"/>
    <mergeCell ref="A187:H187"/>
    <mergeCell ref="C185:D185"/>
    <mergeCell ref="C186:D186"/>
    <mergeCell ref="A183:B183"/>
    <mergeCell ref="F183:G183"/>
    <mergeCell ref="B174:H174"/>
    <mergeCell ref="B175:H175"/>
    <mergeCell ref="A178:H178"/>
    <mergeCell ref="A207:I207"/>
    <mergeCell ref="G213:I213"/>
    <mergeCell ref="A236:F236"/>
    <mergeCell ref="G235:I235"/>
    <mergeCell ref="C230:D230"/>
    <mergeCell ref="A205:B205"/>
    <mergeCell ref="E213:F213"/>
    <mergeCell ref="E278:F278"/>
    <mergeCell ref="A273:G273"/>
    <mergeCell ref="C221:D221"/>
    <mergeCell ref="A234:B234"/>
    <mergeCell ref="A239:B239"/>
    <mergeCell ref="G232:I232"/>
    <mergeCell ref="A233:I233"/>
    <mergeCell ref="E217:F217"/>
    <mergeCell ref="G234:I234"/>
    <mergeCell ref="C239:D239"/>
    <mergeCell ref="C277:D277"/>
    <mergeCell ref="D271:E271"/>
    <mergeCell ref="D262:E262"/>
    <mergeCell ref="D265:E265"/>
    <mergeCell ref="A278:B278"/>
    <mergeCell ref="C278:D278"/>
    <mergeCell ref="D272:E272"/>
    <mergeCell ref="A344:H344"/>
    <mergeCell ref="E279:F279"/>
    <mergeCell ref="G280:I280"/>
    <mergeCell ref="A281:I281"/>
    <mergeCell ref="A282:I282"/>
    <mergeCell ref="A286:C286"/>
    <mergeCell ref="D286:E286"/>
    <mergeCell ref="A285:C285"/>
    <mergeCell ref="A336:G336"/>
    <mergeCell ref="G308:I308"/>
    <mergeCell ref="A317:I317"/>
    <mergeCell ref="A320:F320"/>
    <mergeCell ref="A321:I321"/>
    <mergeCell ref="G320:I320"/>
    <mergeCell ref="A318:F318"/>
    <mergeCell ref="G318:I318"/>
    <mergeCell ref="A307:C307"/>
    <mergeCell ref="A315:I315"/>
    <mergeCell ref="A283:I284"/>
    <mergeCell ref="A280:F280"/>
    <mergeCell ref="H336:I336"/>
    <mergeCell ref="A329:I329"/>
    <mergeCell ref="A322:F322"/>
    <mergeCell ref="A324:I324"/>
    <mergeCell ref="AW49:BD49"/>
    <mergeCell ref="A206:F206"/>
    <mergeCell ref="A220:B220"/>
    <mergeCell ref="C220:D220"/>
    <mergeCell ref="E220:F220"/>
    <mergeCell ref="A218:F218"/>
    <mergeCell ref="A219:I219"/>
    <mergeCell ref="G208:I208"/>
    <mergeCell ref="G209:I209"/>
    <mergeCell ref="G210:I210"/>
    <mergeCell ref="AO49:AV49"/>
    <mergeCell ref="B62:H62"/>
    <mergeCell ref="G212:I212"/>
    <mergeCell ref="A67:I67"/>
    <mergeCell ref="B73:G73"/>
    <mergeCell ref="B71:G71"/>
    <mergeCell ref="A190:H190"/>
    <mergeCell ref="B79:H79"/>
    <mergeCell ref="B68:H68"/>
    <mergeCell ref="B69:H69"/>
    <mergeCell ref="B72:H72"/>
    <mergeCell ref="E205:F205"/>
    <mergeCell ref="E209:F209"/>
    <mergeCell ref="C203:D203"/>
    <mergeCell ref="DQ49:DX49"/>
    <mergeCell ref="DY49:EF49"/>
    <mergeCell ref="CS49:CZ49"/>
    <mergeCell ref="DA49:DH49"/>
    <mergeCell ref="BE49:BL49"/>
    <mergeCell ref="BM49:BT49"/>
    <mergeCell ref="BU49:CB49"/>
    <mergeCell ref="DI49:DP49"/>
    <mergeCell ref="CC49:CJ49"/>
    <mergeCell ref="CK49:CR49"/>
    <mergeCell ref="IO49:IV49"/>
    <mergeCell ref="GK49:GR49"/>
    <mergeCell ref="GS49:GZ49"/>
    <mergeCell ref="HA49:HH49"/>
    <mergeCell ref="HI49:HP49"/>
    <mergeCell ref="HQ49:HX49"/>
    <mergeCell ref="HY49:IF49"/>
    <mergeCell ref="EG49:EN49"/>
    <mergeCell ref="EO49:EV49"/>
    <mergeCell ref="EW49:FD49"/>
    <mergeCell ref="IG49:IN49"/>
    <mergeCell ref="FE49:FL49"/>
    <mergeCell ref="FM49:FT49"/>
    <mergeCell ref="FU49:GB49"/>
    <mergeCell ref="GC49:GJ49"/>
    <mergeCell ref="A350:H350"/>
    <mergeCell ref="A208:B208"/>
    <mergeCell ref="C208:D208"/>
    <mergeCell ref="E208:F208"/>
    <mergeCell ref="A210:F210"/>
    <mergeCell ref="A212:B212"/>
    <mergeCell ref="C212:D212"/>
    <mergeCell ref="E212:F212"/>
    <mergeCell ref="A213:B213"/>
    <mergeCell ref="C213:D213"/>
    <mergeCell ref="A243:B243"/>
    <mergeCell ref="C243:D243"/>
    <mergeCell ref="E243:F243"/>
    <mergeCell ref="A240:F240"/>
    <mergeCell ref="A242:B242"/>
    <mergeCell ref="G240:I240"/>
    <mergeCell ref="A241:I241"/>
    <mergeCell ref="A349:C349"/>
    <mergeCell ref="A345:C345"/>
    <mergeCell ref="A346:C346"/>
    <mergeCell ref="A347:C347"/>
    <mergeCell ref="A348:C348"/>
    <mergeCell ref="E345:H349"/>
    <mergeCell ref="E229:F229"/>
    <mergeCell ref="D266:E266"/>
    <mergeCell ref="G242:I242"/>
    <mergeCell ref="A290:C290"/>
    <mergeCell ref="D290:E290"/>
    <mergeCell ref="A292:E292"/>
    <mergeCell ref="A294:C294"/>
    <mergeCell ref="A295:C295"/>
    <mergeCell ref="D294:E294"/>
    <mergeCell ref="A289:C289"/>
    <mergeCell ref="D289:E289"/>
    <mergeCell ref="A291:C291"/>
    <mergeCell ref="D291:E291"/>
    <mergeCell ref="G279:I279"/>
    <mergeCell ref="A279:B279"/>
    <mergeCell ref="C279:D279"/>
    <mergeCell ref="A288:C288"/>
    <mergeCell ref="D288:E288"/>
    <mergeCell ref="A287:C287"/>
    <mergeCell ref="D287:E287"/>
    <mergeCell ref="G286:I286"/>
    <mergeCell ref="G287:I287"/>
    <mergeCell ref="D285:E285"/>
    <mergeCell ref="A275:H276"/>
    <mergeCell ref="G277:I277"/>
    <mergeCell ref="A277:B277"/>
    <mergeCell ref="A217:B217"/>
    <mergeCell ref="E231:F231"/>
    <mergeCell ref="A226:F226"/>
    <mergeCell ref="A230:B230"/>
    <mergeCell ref="A222:F222"/>
    <mergeCell ref="A224:B224"/>
    <mergeCell ref="A225:B225"/>
    <mergeCell ref="A223:I223"/>
    <mergeCell ref="A227:I227"/>
    <mergeCell ref="G225:I225"/>
    <mergeCell ref="E230:F230"/>
    <mergeCell ref="G230:I230"/>
    <mergeCell ref="A231:B231"/>
    <mergeCell ref="C231:D231"/>
    <mergeCell ref="A229:B229"/>
    <mergeCell ref="C229:D229"/>
    <mergeCell ref="H258:I258"/>
    <mergeCell ref="H259:I259"/>
    <mergeCell ref="G252:I252"/>
    <mergeCell ref="A253:I253"/>
    <mergeCell ref="A254:I255"/>
    <mergeCell ref="A252:F252"/>
    <mergeCell ref="D257:E257"/>
    <mergeCell ref="D258:E258"/>
    <mergeCell ref="H257:I257"/>
    <mergeCell ref="A259:G259"/>
    <mergeCell ref="G248:I248"/>
    <mergeCell ref="D256:E256"/>
    <mergeCell ref="E250:F250"/>
    <mergeCell ref="A249:I249"/>
    <mergeCell ref="H256:I256"/>
    <mergeCell ref="G251:I251"/>
    <mergeCell ref="A251:B251"/>
    <mergeCell ref="G250:I250"/>
    <mergeCell ref="F186:G186"/>
    <mergeCell ref="A247:B247"/>
    <mergeCell ref="C247:D247"/>
    <mergeCell ref="E247:F247"/>
    <mergeCell ref="A248:F248"/>
    <mergeCell ref="C251:D251"/>
    <mergeCell ref="E251:F251"/>
    <mergeCell ref="C250:D250"/>
    <mergeCell ref="A250:B250"/>
    <mergeCell ref="G224:I224"/>
    <mergeCell ref="G247:I247"/>
    <mergeCell ref="G244:I244"/>
    <mergeCell ref="A245:I245"/>
    <mergeCell ref="G243:I243"/>
    <mergeCell ref="G239:I239"/>
    <mergeCell ref="E239:F239"/>
    <mergeCell ref="A244:F244"/>
    <mergeCell ref="C242:D242"/>
    <mergeCell ref="E242:F242"/>
    <mergeCell ref="A204:B204"/>
    <mergeCell ref="C204:D204"/>
    <mergeCell ref="E204:F204"/>
    <mergeCell ref="G216:I216"/>
    <mergeCell ref="G206:I206"/>
    <mergeCell ref="B58:G58"/>
    <mergeCell ref="A119:I119"/>
    <mergeCell ref="B120:H120"/>
    <mergeCell ref="B111:H111"/>
    <mergeCell ref="B108:H108"/>
    <mergeCell ref="B109:H109"/>
    <mergeCell ref="A103:G103"/>
    <mergeCell ref="A107:I107"/>
    <mergeCell ref="F185:G185"/>
    <mergeCell ref="A180:H180"/>
    <mergeCell ref="C184:D184"/>
    <mergeCell ref="B129:H129"/>
    <mergeCell ref="B126:H126"/>
    <mergeCell ref="B130:H130"/>
    <mergeCell ref="B137:H137"/>
    <mergeCell ref="A138:H138"/>
    <mergeCell ref="A136:H136"/>
    <mergeCell ref="B134:H134"/>
    <mergeCell ref="B65:H65"/>
    <mergeCell ref="B63:H63"/>
    <mergeCell ref="B74:H74"/>
    <mergeCell ref="B75:H75"/>
    <mergeCell ref="B76:H76"/>
    <mergeCell ref="B85:H85"/>
    <mergeCell ref="C224:D224"/>
    <mergeCell ref="C234:D234"/>
    <mergeCell ref="E234:F234"/>
    <mergeCell ref="A232:F232"/>
    <mergeCell ref="G231:I231"/>
    <mergeCell ref="G226:I226"/>
    <mergeCell ref="C216:D216"/>
    <mergeCell ref="F4:I4"/>
    <mergeCell ref="A184:B184"/>
    <mergeCell ref="F5:I5"/>
    <mergeCell ref="H23:I23"/>
    <mergeCell ref="H33:I33"/>
    <mergeCell ref="H15:I15"/>
    <mergeCell ref="B176:H176"/>
    <mergeCell ref="B177:H177"/>
    <mergeCell ref="H16:I16"/>
    <mergeCell ref="H17:I17"/>
    <mergeCell ref="H18:I18"/>
    <mergeCell ref="B77:H77"/>
    <mergeCell ref="B64:H64"/>
    <mergeCell ref="A19:E19"/>
    <mergeCell ref="F17:G17"/>
    <mergeCell ref="F16:G16"/>
    <mergeCell ref="B59:H59"/>
    <mergeCell ref="B53:G53"/>
    <mergeCell ref="A57:I57"/>
    <mergeCell ref="A185:B185"/>
    <mergeCell ref="A186:B186"/>
    <mergeCell ref="A27:E27"/>
    <mergeCell ref="F27:G27"/>
    <mergeCell ref="A31:E31"/>
    <mergeCell ref="F31:G31"/>
    <mergeCell ref="A260:I260"/>
    <mergeCell ref="A80:I80"/>
    <mergeCell ref="A83:I83"/>
    <mergeCell ref="B84:H84"/>
    <mergeCell ref="C183:D183"/>
    <mergeCell ref="A181:I181"/>
    <mergeCell ref="B95:G95"/>
    <mergeCell ref="A93:I93"/>
    <mergeCell ref="A89:H89"/>
    <mergeCell ref="F38:G38"/>
    <mergeCell ref="B70:G70"/>
    <mergeCell ref="H51:I51"/>
    <mergeCell ref="A66:H66"/>
    <mergeCell ref="B52:G52"/>
    <mergeCell ref="A34:I34"/>
    <mergeCell ref="B86:H86"/>
    <mergeCell ref="A81:I81"/>
    <mergeCell ref="F18:G18"/>
    <mergeCell ref="F19:G19"/>
    <mergeCell ref="A38:E38"/>
    <mergeCell ref="H38:I38"/>
    <mergeCell ref="H44:I44"/>
    <mergeCell ref="A44:G44"/>
    <mergeCell ref="B100:G100"/>
    <mergeCell ref="B102:G102"/>
    <mergeCell ref="B101:C101"/>
    <mergeCell ref="A26:E26"/>
    <mergeCell ref="F26:G26"/>
    <mergeCell ref="B87:H87"/>
    <mergeCell ref="B88:H88"/>
    <mergeCell ref="A39:G39"/>
    <mergeCell ref="A41:E41"/>
    <mergeCell ref="A37:I37"/>
    <mergeCell ref="F30:G30"/>
    <mergeCell ref="F41:G41"/>
    <mergeCell ref="H41:I41"/>
    <mergeCell ref="A43:I43"/>
    <mergeCell ref="H39:I39"/>
    <mergeCell ref="B78:H78"/>
    <mergeCell ref="A91:I91"/>
    <mergeCell ref="A82:I82"/>
    <mergeCell ref="A4:E4"/>
    <mergeCell ref="A5:E5"/>
    <mergeCell ref="A55:I55"/>
    <mergeCell ref="A56:I56"/>
    <mergeCell ref="A6:I6"/>
    <mergeCell ref="A7:I7"/>
    <mergeCell ref="B8:G8"/>
    <mergeCell ref="B146:H146"/>
    <mergeCell ref="A110:H110"/>
    <mergeCell ref="A112:H112"/>
    <mergeCell ref="A118:H118"/>
    <mergeCell ref="B116:H116"/>
    <mergeCell ref="A114:I114"/>
    <mergeCell ref="B141:H141"/>
    <mergeCell ref="B143:H143"/>
    <mergeCell ref="B115:H115"/>
    <mergeCell ref="B117:H117"/>
    <mergeCell ref="B94:G94"/>
    <mergeCell ref="B140:H140"/>
    <mergeCell ref="B142:H142"/>
    <mergeCell ref="A90:I90"/>
    <mergeCell ref="A105:I105"/>
    <mergeCell ref="A106:I106"/>
    <mergeCell ref="B96:G96"/>
    <mergeCell ref="A188:I188"/>
    <mergeCell ref="A189:I189"/>
    <mergeCell ref="H8:I8"/>
    <mergeCell ref="B11:G11"/>
    <mergeCell ref="H11:I11"/>
    <mergeCell ref="B10:G10"/>
    <mergeCell ref="H10:I10"/>
    <mergeCell ref="B9:G9"/>
    <mergeCell ref="H9:I9"/>
    <mergeCell ref="A147:H147"/>
    <mergeCell ref="B156:G156"/>
    <mergeCell ref="B153:G153"/>
    <mergeCell ref="C166:I166"/>
    <mergeCell ref="A165:G165"/>
    <mergeCell ref="A166:B168"/>
    <mergeCell ref="C167:I167"/>
    <mergeCell ref="C168:I168"/>
    <mergeCell ref="B160:G160"/>
    <mergeCell ref="A163:H163"/>
    <mergeCell ref="B97:G97"/>
    <mergeCell ref="B98:G98"/>
    <mergeCell ref="B99:G99"/>
    <mergeCell ref="H42:I42"/>
    <mergeCell ref="A325:G326"/>
    <mergeCell ref="G297:I297"/>
    <mergeCell ref="G298:I298"/>
    <mergeCell ref="G299:I299"/>
    <mergeCell ref="G300:I300"/>
    <mergeCell ref="A333:G333"/>
    <mergeCell ref="A330:I331"/>
    <mergeCell ref="A327:G327"/>
    <mergeCell ref="A328:G328"/>
    <mergeCell ref="A301:I301"/>
    <mergeCell ref="A297:C297"/>
    <mergeCell ref="D297:E297"/>
    <mergeCell ref="A298:C298"/>
    <mergeCell ref="D298:E298"/>
    <mergeCell ref="A313:E313"/>
    <mergeCell ref="A309:I309"/>
    <mergeCell ref="G310:I310"/>
    <mergeCell ref="G313:I313"/>
    <mergeCell ref="A306:I306"/>
    <mergeCell ref="G307:I307"/>
    <mergeCell ref="H335:I335"/>
    <mergeCell ref="G288:I288"/>
    <mergeCell ref="G289:I289"/>
    <mergeCell ref="G294:I294"/>
    <mergeCell ref="A293:I293"/>
    <mergeCell ref="D295:E295"/>
    <mergeCell ref="A332:I332"/>
    <mergeCell ref="H333:I333"/>
    <mergeCell ref="G311:I311"/>
    <mergeCell ref="D296:E296"/>
    <mergeCell ref="H334:I334"/>
    <mergeCell ref="H325:I326"/>
    <mergeCell ref="H327:I327"/>
    <mergeCell ref="H328:I328"/>
    <mergeCell ref="G290:I290"/>
    <mergeCell ref="G291:I291"/>
    <mergeCell ref="A310:C310"/>
    <mergeCell ref="D310:E310"/>
    <mergeCell ref="A312:I312"/>
    <mergeCell ref="A314:E314"/>
    <mergeCell ref="G314:I314"/>
    <mergeCell ref="A334:G334"/>
    <mergeCell ref="G295:I295"/>
    <mergeCell ref="G296:I296"/>
    <mergeCell ref="A191:H191"/>
    <mergeCell ref="A192:H192"/>
    <mergeCell ref="A193:H193"/>
    <mergeCell ref="A311:E311"/>
    <mergeCell ref="A300:E300"/>
    <mergeCell ref="A299:C299"/>
    <mergeCell ref="H273:I273"/>
    <mergeCell ref="G285:I285"/>
    <mergeCell ref="H266:I266"/>
    <mergeCell ref="H267:I267"/>
    <mergeCell ref="H270:I270"/>
    <mergeCell ref="A269:I269"/>
    <mergeCell ref="H272:I272"/>
    <mergeCell ref="G278:I278"/>
    <mergeCell ref="G292:I292"/>
    <mergeCell ref="H271:I271"/>
    <mergeCell ref="A267:G267"/>
    <mergeCell ref="D270:E270"/>
    <mergeCell ref="D299:E299"/>
    <mergeCell ref="A296:C296"/>
    <mergeCell ref="H263:I263"/>
    <mergeCell ref="D261:E261"/>
    <mergeCell ref="H261:I261"/>
    <mergeCell ref="H262:I262"/>
    <mergeCell ref="B157:G157"/>
    <mergeCell ref="B158:G158"/>
    <mergeCell ref="B155:G155"/>
    <mergeCell ref="B161:G161"/>
    <mergeCell ref="H265:I265"/>
    <mergeCell ref="B145:H145"/>
    <mergeCell ref="A171:I171"/>
    <mergeCell ref="A148:I148"/>
    <mergeCell ref="B149:G149"/>
    <mergeCell ref="B151:G151"/>
    <mergeCell ref="A150:G150"/>
    <mergeCell ref="A152:G152"/>
    <mergeCell ref="B162:G162"/>
    <mergeCell ref="A154:G154"/>
    <mergeCell ref="A164:I164"/>
    <mergeCell ref="A170:I170"/>
    <mergeCell ref="A169:I169"/>
    <mergeCell ref="B159:G159"/>
    <mergeCell ref="A198:I198"/>
    <mergeCell ref="A201:I201"/>
    <mergeCell ref="A173:H173"/>
    <mergeCell ref="A172:I172"/>
    <mergeCell ref="A182:I182"/>
    <mergeCell ref="F184:G184"/>
  </mergeCells>
  <phoneticPr fontId="0" type="noConversion"/>
  <pageMargins left="0.78740157480314965" right="0.31496062992125984" top="0.43307086614173229" bottom="0.31496062992125984" header="3.937007874015748E-2" footer="3.937007874015748E-2"/>
  <pageSetup paperSize="9" scale="76" orientation="portrait" horizontalDpi="1200" r:id="rId1"/>
  <headerFooter alignWithMargins="0"/>
  <rowBreaks count="7" manualBreakCount="7">
    <brk id="56" max="8" man="1"/>
    <brk id="105" max="8" man="1"/>
    <brk id="147" max="8" man="1"/>
    <brk id="197" max="8" man="1"/>
    <brk id="248" max="8" man="1"/>
    <brk id="282" max="8" man="1"/>
    <brk id="337" max="7" man="1"/>
  </rowBreaks>
  <legacyDrawing r:id="rId2"/>
</worksheet>
</file>

<file path=xl/worksheets/sheet8.xml><?xml version="1.0" encoding="utf-8"?>
<worksheet xmlns="http://schemas.openxmlformats.org/spreadsheetml/2006/main" xmlns:r="http://schemas.openxmlformats.org/officeDocument/2006/relationships">
  <sheetPr>
    <tabColor rgb="FFFF0000"/>
  </sheetPr>
  <dimension ref="A2:O325"/>
  <sheetViews>
    <sheetView zoomScaleNormal="100" zoomScaleSheetLayoutView="130" workbookViewId="0">
      <selection activeCell="H10" sqref="H10:I10"/>
    </sheetView>
  </sheetViews>
  <sheetFormatPr defaultRowHeight="12.75"/>
  <cols>
    <col min="1" max="1" width="15.28515625" style="1" customWidth="1"/>
    <col min="2" max="2" width="11.140625" style="1" customWidth="1"/>
    <col min="3" max="3" width="13.28515625" style="1" customWidth="1"/>
    <col min="4" max="4" width="16.140625" style="1" customWidth="1"/>
    <col min="5" max="5" width="12.42578125" style="1" customWidth="1"/>
    <col min="6" max="6" width="11.28515625" style="1" customWidth="1"/>
    <col min="7" max="7" width="11.42578125" style="1" customWidth="1"/>
    <col min="8" max="8" width="12.42578125" style="1" customWidth="1"/>
    <col min="9" max="9" width="14.85546875" style="213" customWidth="1"/>
  </cols>
  <sheetData>
    <row r="2" spans="1:9" ht="23.25">
      <c r="A2" s="483" t="s">
        <v>442</v>
      </c>
      <c r="B2" s="483"/>
      <c r="C2" s="483"/>
      <c r="D2" s="483"/>
      <c r="E2" s="483"/>
      <c r="F2" s="483"/>
      <c r="G2" s="483"/>
      <c r="H2" s="483"/>
      <c r="I2" s="483"/>
    </row>
    <row r="3" spans="1:9" ht="59.25" customHeight="1">
      <c r="A3" s="489" t="s">
        <v>473</v>
      </c>
      <c r="B3" s="489"/>
      <c r="C3" s="489"/>
      <c r="D3" s="489"/>
      <c r="E3" s="489"/>
      <c r="F3" s="489"/>
      <c r="G3" s="489"/>
      <c r="H3" s="489"/>
      <c r="I3" s="489"/>
    </row>
    <row r="4" spans="1:9">
      <c r="A4" s="1082" t="s">
        <v>296</v>
      </c>
      <c r="B4" s="1082"/>
      <c r="C4" s="1082"/>
      <c r="D4" s="1082"/>
      <c r="E4" s="1082"/>
      <c r="F4" s="1149" t="s">
        <v>466</v>
      </c>
      <c r="G4" s="1149"/>
      <c r="H4" s="1149"/>
      <c r="I4" s="1149"/>
    </row>
    <row r="5" spans="1:9">
      <c r="A5" s="1082" t="s">
        <v>297</v>
      </c>
      <c r="B5" s="1082"/>
      <c r="C5" s="1082"/>
      <c r="D5" s="1082"/>
      <c r="E5" s="1082"/>
      <c r="F5" s="1149" t="s">
        <v>467</v>
      </c>
      <c r="G5" s="1149"/>
      <c r="H5" s="1149"/>
      <c r="I5" s="1149"/>
    </row>
    <row r="6" spans="1:9">
      <c r="A6" s="1082" t="s">
        <v>468</v>
      </c>
      <c r="B6" s="1082"/>
      <c r="C6" s="1082"/>
      <c r="D6" s="1082"/>
      <c r="E6" s="1082"/>
      <c r="F6" s="1082"/>
      <c r="G6" s="1082"/>
      <c r="H6" s="1082"/>
      <c r="I6" s="1082"/>
    </row>
    <row r="7" spans="1:9" ht="15">
      <c r="A7" s="1150" t="s">
        <v>258</v>
      </c>
      <c r="B7" s="1150"/>
      <c r="C7" s="1150"/>
      <c r="D7" s="1150"/>
      <c r="E7" s="1150"/>
      <c r="F7" s="1150"/>
      <c r="G7" s="1150"/>
      <c r="H7" s="1150"/>
      <c r="I7" s="1150"/>
    </row>
    <row r="8" spans="1:9">
      <c r="A8" s="127" t="s">
        <v>259</v>
      </c>
      <c r="B8" s="1082" t="s">
        <v>260</v>
      </c>
      <c r="C8" s="1082"/>
      <c r="D8" s="1082"/>
      <c r="E8" s="1082"/>
      <c r="F8" s="1082"/>
      <c r="G8" s="1082"/>
      <c r="H8" s="1148">
        <v>42735</v>
      </c>
      <c r="I8" s="1148"/>
    </row>
    <row r="9" spans="1:9">
      <c r="A9" s="127" t="s">
        <v>261</v>
      </c>
      <c r="B9" s="1082" t="s">
        <v>262</v>
      </c>
      <c r="C9" s="1082"/>
      <c r="D9" s="1082"/>
      <c r="E9" s="1082"/>
      <c r="F9" s="1082"/>
      <c r="G9" s="1082"/>
      <c r="H9" s="1149" t="s">
        <v>469</v>
      </c>
      <c r="I9" s="1149"/>
    </row>
    <row r="10" spans="1:9" ht="38.25" customHeight="1">
      <c r="A10" s="127" t="s">
        <v>263</v>
      </c>
      <c r="B10" s="1082" t="s">
        <v>352</v>
      </c>
      <c r="C10" s="1082"/>
      <c r="D10" s="1082"/>
      <c r="E10" s="1082"/>
      <c r="F10" s="1082"/>
      <c r="G10" s="1082"/>
      <c r="H10" s="1149" t="s">
        <v>472</v>
      </c>
      <c r="I10" s="1149"/>
    </row>
    <row r="11" spans="1:9">
      <c r="A11" s="127" t="s">
        <v>264</v>
      </c>
      <c r="B11" s="1082" t="s">
        <v>265</v>
      </c>
      <c r="C11" s="1082"/>
      <c r="D11" s="1082"/>
      <c r="E11" s="1082"/>
      <c r="F11" s="1082"/>
      <c r="G11" s="1082"/>
      <c r="H11" s="1149">
        <v>12</v>
      </c>
      <c r="I11" s="1149"/>
    </row>
    <row r="12" spans="1:9" ht="15">
      <c r="A12" s="1135" t="s">
        <v>443</v>
      </c>
      <c r="B12" s="1135"/>
      <c r="C12" s="1135"/>
      <c r="D12" s="1135"/>
      <c r="E12" s="1135"/>
      <c r="F12" s="1135"/>
      <c r="G12" s="1135"/>
      <c r="H12" s="1135"/>
      <c r="I12" s="1135"/>
    </row>
    <row r="13" spans="1:9">
      <c r="A13" s="1136" t="s">
        <v>444</v>
      </c>
      <c r="B13" s="1136"/>
      <c r="C13" s="1136"/>
      <c r="D13" s="1136"/>
      <c r="E13" s="1136"/>
      <c r="F13" s="904" t="s">
        <v>445</v>
      </c>
      <c r="G13" s="904"/>
      <c r="H13" s="1137" t="s">
        <v>267</v>
      </c>
      <c r="I13" s="1137"/>
    </row>
    <row r="14" spans="1:9">
      <c r="A14" s="1130" t="s">
        <v>167</v>
      </c>
      <c r="B14" s="1130"/>
      <c r="C14" s="1130"/>
      <c r="D14" s="1130"/>
      <c r="E14" s="1130"/>
      <c r="F14" s="1129" t="s">
        <v>268</v>
      </c>
      <c r="G14" s="1129"/>
      <c r="H14" s="1134">
        <v>0</v>
      </c>
      <c r="I14" s="1134"/>
    </row>
    <row r="15" spans="1:9">
      <c r="A15" s="1130" t="s">
        <v>168</v>
      </c>
      <c r="B15" s="1130"/>
      <c r="C15" s="1130"/>
      <c r="D15" s="1130"/>
      <c r="E15" s="1130"/>
      <c r="F15" s="1129" t="s">
        <v>268</v>
      </c>
      <c r="G15" s="1129"/>
      <c r="H15" s="1134">
        <v>600</v>
      </c>
      <c r="I15" s="1134"/>
    </row>
    <row r="16" spans="1:9">
      <c r="A16" s="1130" t="s">
        <v>169</v>
      </c>
      <c r="B16" s="1130"/>
      <c r="C16" s="1130"/>
      <c r="D16" s="1130"/>
      <c r="E16" s="1130"/>
      <c r="F16" s="1129" t="s">
        <v>268</v>
      </c>
      <c r="G16" s="1129"/>
      <c r="H16" s="1134">
        <v>0</v>
      </c>
      <c r="I16" s="1134"/>
    </row>
    <row r="17" spans="1:9">
      <c r="A17" s="1130" t="s">
        <v>170</v>
      </c>
      <c r="B17" s="1130"/>
      <c r="C17" s="1130"/>
      <c r="D17" s="1130"/>
      <c r="E17" s="1130"/>
      <c r="F17" s="1129" t="s">
        <v>268</v>
      </c>
      <c r="G17" s="1129"/>
      <c r="H17" s="1134">
        <v>0</v>
      </c>
      <c r="I17" s="1134"/>
    </row>
    <row r="18" spans="1:9">
      <c r="A18" s="1130" t="s">
        <v>171</v>
      </c>
      <c r="B18" s="1130"/>
      <c r="C18" s="1130"/>
      <c r="D18" s="1130"/>
      <c r="E18" s="1130"/>
      <c r="F18" s="1129" t="s">
        <v>268</v>
      </c>
      <c r="G18" s="1129"/>
      <c r="H18" s="1134">
        <v>0</v>
      </c>
      <c r="I18" s="1134"/>
    </row>
    <row r="19" spans="1:9">
      <c r="A19" s="1130" t="s">
        <v>172</v>
      </c>
      <c r="B19" s="1130"/>
      <c r="C19" s="1130"/>
      <c r="D19" s="1130"/>
      <c r="E19" s="1130"/>
      <c r="F19" s="1129" t="s">
        <v>268</v>
      </c>
      <c r="G19" s="1129"/>
      <c r="H19" s="1134">
        <v>0</v>
      </c>
      <c r="I19" s="1134"/>
    </row>
    <row r="20" spans="1:9">
      <c r="A20" s="1122" t="s">
        <v>173</v>
      </c>
      <c r="B20" s="1122"/>
      <c r="C20" s="1122"/>
      <c r="D20" s="1122"/>
      <c r="E20" s="1122"/>
      <c r="F20" s="1122"/>
      <c r="G20" s="1122"/>
      <c r="H20" s="923">
        <f>ROUND(H14+H15+H16+H17+H18+H19,2)</f>
        <v>600</v>
      </c>
      <c r="I20" s="923"/>
    </row>
    <row r="21" spans="1:9">
      <c r="A21" s="1097"/>
      <c r="B21" s="1097"/>
      <c r="C21" s="1097"/>
      <c r="D21" s="1097"/>
      <c r="E21" s="1097"/>
      <c r="F21" s="1097"/>
      <c r="G21" s="1097"/>
      <c r="H21" s="1097"/>
      <c r="I21" s="1097"/>
    </row>
    <row r="22" spans="1:9">
      <c r="A22" s="1130" t="s">
        <v>174</v>
      </c>
      <c r="B22" s="1130"/>
      <c r="C22" s="1130"/>
      <c r="D22" s="1130"/>
      <c r="E22" s="1130"/>
      <c r="F22" s="1129" t="s">
        <v>268</v>
      </c>
      <c r="G22" s="1129"/>
      <c r="H22" s="926">
        <v>0</v>
      </c>
      <c r="I22" s="926"/>
    </row>
    <row r="23" spans="1:9">
      <c r="A23" s="1130" t="s">
        <v>175</v>
      </c>
      <c r="B23" s="1130"/>
      <c r="C23" s="1130"/>
      <c r="D23" s="1130"/>
      <c r="E23" s="1130"/>
      <c r="F23" s="1126" t="s">
        <v>268</v>
      </c>
      <c r="G23" s="1126"/>
      <c r="H23" s="926">
        <v>0</v>
      </c>
      <c r="I23" s="926"/>
    </row>
    <row r="24" spans="1:9">
      <c r="A24" s="1130" t="s">
        <v>176</v>
      </c>
      <c r="B24" s="1130"/>
      <c r="C24" s="1130"/>
      <c r="D24" s="1130"/>
      <c r="E24" s="1130"/>
      <c r="F24" s="1129" t="s">
        <v>268</v>
      </c>
      <c r="G24" s="1129"/>
      <c r="H24" s="926">
        <v>0</v>
      </c>
      <c r="I24" s="926"/>
    </row>
    <row r="25" spans="1:9">
      <c r="A25" s="1130" t="s">
        <v>177</v>
      </c>
      <c r="B25" s="1130"/>
      <c r="C25" s="1130"/>
      <c r="D25" s="1130"/>
      <c r="E25" s="1130"/>
      <c r="F25" s="1126" t="s">
        <v>268</v>
      </c>
      <c r="G25" s="1126"/>
      <c r="H25" s="926">
        <v>0</v>
      </c>
      <c r="I25" s="926"/>
    </row>
    <row r="26" spans="1:9">
      <c r="A26" s="1130" t="s">
        <v>178</v>
      </c>
      <c r="B26" s="1130"/>
      <c r="C26" s="1130"/>
      <c r="D26" s="1130"/>
      <c r="E26" s="1130"/>
      <c r="F26" s="1126" t="s">
        <v>268</v>
      </c>
      <c r="G26" s="1126"/>
      <c r="H26" s="926">
        <v>0</v>
      </c>
      <c r="I26" s="926"/>
    </row>
    <row r="27" spans="1:9" ht="24.75" customHeight="1">
      <c r="A27" s="1130" t="s">
        <v>179</v>
      </c>
      <c r="B27" s="1130"/>
      <c r="C27" s="1130"/>
      <c r="D27" s="1130"/>
      <c r="E27" s="1130"/>
      <c r="F27" s="1129" t="s">
        <v>268</v>
      </c>
      <c r="G27" s="1129"/>
      <c r="H27" s="926">
        <v>0</v>
      </c>
      <c r="I27" s="926"/>
    </row>
    <row r="28" spans="1:9">
      <c r="A28" s="1122" t="s">
        <v>180</v>
      </c>
      <c r="B28" s="1122"/>
      <c r="C28" s="1122"/>
      <c r="D28" s="1122"/>
      <c r="E28" s="1122"/>
      <c r="F28" s="1122"/>
      <c r="G28" s="1122"/>
      <c r="H28" s="923">
        <f>ROUND(H22+H23+H24+H25+H26+H27,2)</f>
        <v>0</v>
      </c>
      <c r="I28" s="923"/>
    </row>
    <row r="29" spans="1:9">
      <c r="A29" s="1097"/>
      <c r="B29" s="1097"/>
      <c r="C29" s="1097"/>
      <c r="D29" s="1097"/>
      <c r="E29" s="1097"/>
      <c r="F29" s="1097"/>
      <c r="G29" s="1097"/>
      <c r="H29" s="1097"/>
      <c r="I29" s="1097"/>
    </row>
    <row r="30" spans="1:9">
      <c r="A30" s="1130" t="s">
        <v>181</v>
      </c>
      <c r="B30" s="1130"/>
      <c r="C30" s="1130"/>
      <c r="D30" s="1130"/>
      <c r="E30" s="1130"/>
      <c r="F30" s="1129" t="s">
        <v>268</v>
      </c>
      <c r="G30" s="1129"/>
      <c r="H30" s="926">
        <v>0</v>
      </c>
      <c r="I30" s="926"/>
    </row>
    <row r="31" spans="1:9">
      <c r="A31" s="1130" t="s">
        <v>182</v>
      </c>
      <c r="B31" s="1130"/>
      <c r="C31" s="1130"/>
      <c r="D31" s="1130"/>
      <c r="E31" s="1130"/>
      <c r="F31" s="1129" t="s">
        <v>268</v>
      </c>
      <c r="G31" s="1129"/>
      <c r="H31" s="926">
        <v>0</v>
      </c>
      <c r="I31" s="926"/>
    </row>
    <row r="32" spans="1:9">
      <c r="A32" s="1130" t="s">
        <v>183</v>
      </c>
      <c r="B32" s="1130"/>
      <c r="C32" s="1130"/>
      <c r="D32" s="1130"/>
      <c r="E32" s="1130"/>
      <c r="F32" s="1129" t="s">
        <v>268</v>
      </c>
      <c r="G32" s="1129"/>
      <c r="H32" s="926">
        <v>0</v>
      </c>
      <c r="I32" s="926"/>
    </row>
    <row r="33" spans="1:9">
      <c r="A33" s="1128" t="s">
        <v>216</v>
      </c>
      <c r="B33" s="1128"/>
      <c r="C33" s="1128"/>
      <c r="D33" s="1128"/>
      <c r="E33" s="1128"/>
      <c r="F33" s="1128"/>
      <c r="G33" s="1128"/>
      <c r="H33" s="923">
        <f>ROUND(H30+H31+H32,2)</f>
        <v>0</v>
      </c>
      <c r="I33" s="923"/>
    </row>
    <row r="34" spans="1:9">
      <c r="A34" s="1121"/>
      <c r="B34" s="1121"/>
      <c r="C34" s="1121"/>
      <c r="D34" s="1121"/>
      <c r="E34" s="1121"/>
      <c r="F34" s="1121"/>
      <c r="G34" s="1121"/>
      <c r="H34" s="1121"/>
      <c r="I34" s="1121"/>
    </row>
    <row r="35" spans="1:9">
      <c r="A35" s="1125" t="s">
        <v>214</v>
      </c>
      <c r="B35" s="1125"/>
      <c r="C35" s="1125"/>
      <c r="D35" s="1125"/>
      <c r="E35" s="1125"/>
      <c r="F35" s="1129" t="s">
        <v>268</v>
      </c>
      <c r="G35" s="1129"/>
      <c r="H35" s="926">
        <v>0</v>
      </c>
      <c r="I35" s="926"/>
    </row>
    <row r="36" spans="1:9">
      <c r="A36" s="1124" t="s">
        <v>215</v>
      </c>
      <c r="B36" s="1124"/>
      <c r="C36" s="1124"/>
      <c r="D36" s="1124"/>
      <c r="E36" s="1124"/>
      <c r="F36" s="1124"/>
      <c r="G36" s="1124"/>
      <c r="H36" s="923">
        <f>H35</f>
        <v>0</v>
      </c>
      <c r="I36" s="923"/>
    </row>
    <row r="37" spans="1:9">
      <c r="A37" s="1114"/>
      <c r="B37" s="1114"/>
      <c r="C37" s="1114"/>
      <c r="D37" s="1114"/>
      <c r="E37" s="1114"/>
      <c r="F37" s="1114"/>
      <c r="G37" s="1114"/>
      <c r="H37" s="1114"/>
      <c r="I37" s="1114"/>
    </row>
    <row r="38" spans="1:9">
      <c r="A38" s="1125" t="s">
        <v>184</v>
      </c>
      <c r="B38" s="1125"/>
      <c r="C38" s="1125"/>
      <c r="D38" s="1125"/>
      <c r="E38" s="1125"/>
      <c r="F38" s="1126" t="s">
        <v>268</v>
      </c>
      <c r="G38" s="1126"/>
      <c r="H38" s="1127">
        <v>0</v>
      </c>
      <c r="I38" s="1127"/>
    </row>
    <row r="39" spans="1:9">
      <c r="A39" s="1165" t="s">
        <v>446</v>
      </c>
      <c r="B39" s="1165"/>
      <c r="C39" s="1165"/>
      <c r="D39" s="1165"/>
      <c r="E39" s="1165"/>
      <c r="F39" s="1165"/>
      <c r="G39" s="1165"/>
      <c r="H39" s="1166">
        <v>0</v>
      </c>
      <c r="I39" s="1166"/>
    </row>
    <row r="40" spans="1:9">
      <c r="A40" s="1121"/>
      <c r="B40" s="1121"/>
      <c r="C40" s="1121"/>
      <c r="D40" s="1121"/>
      <c r="E40" s="1121"/>
      <c r="F40" s="1121"/>
      <c r="G40" s="1121"/>
      <c r="H40" s="1121"/>
      <c r="I40" s="1121"/>
    </row>
    <row r="41" spans="1:9">
      <c r="A41" s="1122" t="s">
        <v>269</v>
      </c>
      <c r="B41" s="1122"/>
      <c r="C41" s="1122"/>
      <c r="D41" s="1122"/>
      <c r="E41" s="1122"/>
      <c r="F41" s="1122"/>
      <c r="G41" s="1122"/>
      <c r="H41" s="1123">
        <f>ROUND(H20+H28+H33+H36+H39,2)</f>
        <v>600</v>
      </c>
      <c r="I41" s="1123"/>
    </row>
    <row r="42" spans="1:9">
      <c r="A42" s="1099"/>
      <c r="B42" s="1099"/>
      <c r="C42" s="1099"/>
      <c r="D42" s="1099"/>
      <c r="E42" s="1099"/>
      <c r="F42" s="1099"/>
      <c r="G42" s="1099"/>
      <c r="H42" s="1099"/>
      <c r="I42" s="1099"/>
    </row>
    <row r="43" spans="1:9">
      <c r="A43" s="1120" t="s">
        <v>354</v>
      </c>
      <c r="B43" s="1120"/>
      <c r="C43" s="1120"/>
      <c r="D43" s="1120"/>
      <c r="E43" s="1120"/>
      <c r="F43" s="1120"/>
      <c r="G43" s="1120"/>
      <c r="H43" s="1120"/>
      <c r="I43" s="1120"/>
    </row>
    <row r="44" spans="1:9">
      <c r="A44" s="1099"/>
      <c r="B44" s="1099"/>
      <c r="C44" s="1099"/>
      <c r="D44" s="1099"/>
      <c r="E44" s="1099"/>
      <c r="F44" s="1099"/>
      <c r="G44" s="1099"/>
      <c r="H44" s="1099"/>
      <c r="I44" s="1099"/>
    </row>
    <row r="45" spans="1:9" ht="15">
      <c r="A45" s="1089" t="s">
        <v>447</v>
      </c>
      <c r="B45" s="1089"/>
      <c r="C45" s="1089"/>
      <c r="D45" s="1089"/>
      <c r="E45" s="1089"/>
      <c r="F45" s="1089"/>
      <c r="G45" s="1089"/>
      <c r="H45" s="1089"/>
      <c r="I45" s="1089"/>
    </row>
    <row r="46" spans="1:9" ht="15">
      <c r="A46" s="1083" t="s">
        <v>161</v>
      </c>
      <c r="B46" s="1083"/>
      <c r="C46" s="1083"/>
      <c r="D46" s="1083"/>
      <c r="E46" s="1083"/>
      <c r="F46" s="1083"/>
      <c r="G46" s="1083"/>
      <c r="H46" s="1083"/>
      <c r="I46" s="1083"/>
    </row>
    <row r="47" spans="1:9">
      <c r="A47" s="127">
        <v>1</v>
      </c>
      <c r="B47" s="1082" t="s">
        <v>270</v>
      </c>
      <c r="C47" s="1082"/>
      <c r="D47" s="1082"/>
      <c r="E47" s="1082"/>
      <c r="F47" s="1082"/>
      <c r="G47" s="1082"/>
      <c r="H47" s="1118" t="s">
        <v>271</v>
      </c>
      <c r="I47" s="1118"/>
    </row>
    <row r="48" spans="1:9" ht="12.75" customHeight="1">
      <c r="A48" s="127">
        <v>2</v>
      </c>
      <c r="B48" s="1107" t="s">
        <v>464</v>
      </c>
      <c r="C48" s="1064"/>
      <c r="D48" s="1064"/>
      <c r="E48" s="1119" t="s">
        <v>465</v>
      </c>
      <c r="F48" s="1119"/>
      <c r="G48" s="218">
        <v>44</v>
      </c>
      <c r="H48" s="1118">
        <v>926.27</v>
      </c>
      <c r="I48" s="1118"/>
    </row>
    <row r="49" spans="1:11" ht="15">
      <c r="A49" s="127">
        <v>3</v>
      </c>
      <c r="B49" s="1082" t="s">
        <v>448</v>
      </c>
      <c r="C49" s="1082"/>
      <c r="D49" s="1082"/>
      <c r="E49" s="1082"/>
      <c r="F49" s="1082"/>
      <c r="G49" s="1082"/>
      <c r="H49" s="1116" t="s">
        <v>340</v>
      </c>
      <c r="I49" s="1116"/>
      <c r="K49" s="217"/>
    </row>
    <row r="50" spans="1:11">
      <c r="A50" s="127">
        <v>4</v>
      </c>
      <c r="B50" s="1082" t="s">
        <v>125</v>
      </c>
      <c r="C50" s="1082"/>
      <c r="D50" s="1082"/>
      <c r="E50" s="1082"/>
      <c r="F50" s="1082"/>
      <c r="G50" s="1082"/>
      <c r="H50" s="1117" t="s">
        <v>474</v>
      </c>
      <c r="I50" s="1117"/>
    </row>
    <row r="51" spans="1:11">
      <c r="A51" s="1114"/>
      <c r="B51" s="1114"/>
      <c r="C51" s="1114"/>
      <c r="D51" s="1114"/>
      <c r="E51" s="1114"/>
      <c r="F51" s="1114"/>
      <c r="G51" s="1114"/>
      <c r="H51" s="1114"/>
      <c r="I51" s="1114"/>
    </row>
    <row r="52" spans="1:11">
      <c r="A52" s="1102" t="s">
        <v>449</v>
      </c>
      <c r="B52" s="1102"/>
      <c r="C52" s="1102"/>
      <c r="D52" s="1102"/>
      <c r="E52" s="1102"/>
      <c r="F52" s="1102"/>
      <c r="G52" s="1102"/>
      <c r="H52" s="1102"/>
      <c r="I52" s="1102"/>
    </row>
    <row r="53" spans="1:11">
      <c r="A53" s="1115"/>
      <c r="B53" s="1115"/>
      <c r="C53" s="1115"/>
      <c r="D53" s="1115"/>
      <c r="E53" s="1115"/>
      <c r="F53" s="1115"/>
      <c r="G53" s="1115"/>
      <c r="H53" s="1115"/>
      <c r="I53" s="1115"/>
    </row>
    <row r="54" spans="1:11">
      <c r="A54" s="1103" t="s">
        <v>298</v>
      </c>
      <c r="B54" s="1103"/>
      <c r="C54" s="1103"/>
      <c r="D54" s="1103"/>
      <c r="E54" s="1103"/>
      <c r="F54" s="1103"/>
      <c r="G54" s="1103"/>
      <c r="H54" s="1103"/>
      <c r="I54" s="1103"/>
    </row>
    <row r="55" spans="1:11" ht="25.5">
      <c r="A55" s="131">
        <v>1</v>
      </c>
      <c r="B55" s="1112" t="s">
        <v>355</v>
      </c>
      <c r="C55" s="1112"/>
      <c r="D55" s="1112"/>
      <c r="E55" s="1112"/>
      <c r="F55" s="1112"/>
      <c r="G55" s="1112"/>
      <c r="H55" s="132" t="s">
        <v>363</v>
      </c>
      <c r="I55" s="131" t="s">
        <v>450</v>
      </c>
    </row>
    <row r="56" spans="1:11">
      <c r="A56" s="127" t="s">
        <v>259</v>
      </c>
      <c r="B56" s="1082" t="s">
        <v>451</v>
      </c>
      <c r="C56" s="1082"/>
      <c r="D56" s="1082"/>
      <c r="E56" s="1082"/>
      <c r="F56" s="1082"/>
      <c r="G56" s="1082"/>
      <c r="H56" s="1082"/>
      <c r="I56" s="133">
        <f>ROUND(((G48/6)*30)*(H48/220),2)</f>
        <v>926.27</v>
      </c>
    </row>
    <row r="57" spans="1:11">
      <c r="A57" s="127" t="s">
        <v>263</v>
      </c>
      <c r="B57" s="1113" t="s">
        <v>475</v>
      </c>
      <c r="C57" s="1113"/>
      <c r="D57" s="1113"/>
      <c r="E57" s="1113"/>
      <c r="F57" s="1113"/>
      <c r="G57" s="1113"/>
      <c r="H57" s="134">
        <v>0.4</v>
      </c>
      <c r="I57" s="133">
        <f>ROUND(H57*I56,2)</f>
        <v>370.51</v>
      </c>
    </row>
    <row r="58" spans="1:11" ht="15">
      <c r="A58" s="1111" t="s">
        <v>452</v>
      </c>
      <c r="B58" s="1111"/>
      <c r="C58" s="1111"/>
      <c r="D58" s="1111"/>
      <c r="E58" s="1111"/>
      <c r="F58" s="1111"/>
      <c r="G58" s="1111"/>
      <c r="H58" s="1111"/>
      <c r="I58" s="135">
        <f>SUM(I56:I57)</f>
        <v>1296.78</v>
      </c>
    </row>
    <row r="59" spans="1:11">
      <c r="A59" s="1080" t="s">
        <v>276</v>
      </c>
      <c r="B59" s="1080"/>
      <c r="C59" s="1080"/>
      <c r="D59" s="1080"/>
      <c r="E59" s="1080"/>
      <c r="F59" s="1080"/>
      <c r="G59" s="1080"/>
      <c r="H59" s="1080"/>
      <c r="I59" s="1080"/>
    </row>
    <row r="60" spans="1:11" ht="15">
      <c r="A60" s="137">
        <v>2</v>
      </c>
      <c r="B60" s="1083" t="s">
        <v>357</v>
      </c>
      <c r="C60" s="1083"/>
      <c r="D60" s="1083"/>
      <c r="E60" s="1083"/>
      <c r="F60" s="1083"/>
      <c r="G60" s="1083"/>
      <c r="H60" s="1083"/>
      <c r="I60" s="126" t="s">
        <v>127</v>
      </c>
    </row>
    <row r="61" spans="1:11">
      <c r="A61" s="136" t="s">
        <v>259</v>
      </c>
      <c r="B61" s="1107" t="s">
        <v>347</v>
      </c>
      <c r="C61" s="1107"/>
      <c r="D61" s="1107"/>
      <c r="E61" s="1107"/>
      <c r="F61" s="1107"/>
      <c r="G61" s="1107"/>
      <c r="H61" s="1107"/>
      <c r="I61" s="138">
        <f>IF(ROUND((21*H62*H63)-(I56*0.06),2)&lt;0,0,ROUND((21*H62*H63)-(I56*0.06),2))*1+(H62*H63*21.726-0.06*I56)*0</f>
        <v>57.82</v>
      </c>
    </row>
    <row r="62" spans="1:11" ht="24.75" customHeight="1">
      <c r="A62" s="136"/>
      <c r="B62" s="1109" t="s">
        <v>470</v>
      </c>
      <c r="C62" s="1109"/>
      <c r="D62" s="1109"/>
      <c r="E62" s="1109"/>
      <c r="F62" s="1109"/>
      <c r="G62" s="1109"/>
      <c r="H62" s="139">
        <v>2.7</v>
      </c>
      <c r="I62" s="140" t="s">
        <v>227</v>
      </c>
    </row>
    <row r="63" spans="1:11">
      <c r="A63" s="136"/>
      <c r="B63" s="1110" t="s">
        <v>335</v>
      </c>
      <c r="C63" s="1110"/>
      <c r="D63" s="1110"/>
      <c r="E63" s="1110"/>
      <c r="F63" s="1110"/>
      <c r="G63" s="1110"/>
      <c r="H63" s="141">
        <v>2</v>
      </c>
      <c r="I63" s="140"/>
    </row>
    <row r="64" spans="1:11" ht="26.25" customHeight="1">
      <c r="A64" s="136" t="s">
        <v>261</v>
      </c>
      <c r="B64" s="1107" t="s">
        <v>2</v>
      </c>
      <c r="C64" s="1107"/>
      <c r="D64" s="1107"/>
      <c r="E64" s="1107"/>
      <c r="F64" s="1107"/>
      <c r="G64" s="1107"/>
      <c r="H64" s="1107"/>
      <c r="I64" s="138">
        <f>ROUND(21*H65*(1-0.175),2)*1+ROUND(21.726*6*(1-0.175),2)*0</f>
        <v>251.21</v>
      </c>
    </row>
    <row r="65" spans="1:10">
      <c r="A65" s="136"/>
      <c r="B65" s="1109" t="s">
        <v>476</v>
      </c>
      <c r="C65" s="1109"/>
      <c r="D65" s="1109"/>
      <c r="E65" s="1109"/>
      <c r="F65" s="1109"/>
      <c r="G65" s="1109"/>
      <c r="H65" s="139">
        <v>14.5</v>
      </c>
      <c r="I65" s="140" t="s">
        <v>227</v>
      </c>
    </row>
    <row r="66" spans="1:10">
      <c r="A66" s="136" t="s">
        <v>263</v>
      </c>
      <c r="B66" s="1107" t="s">
        <v>277</v>
      </c>
      <c r="C66" s="1107"/>
      <c r="D66" s="1107"/>
      <c r="E66" s="1107"/>
      <c r="F66" s="1107"/>
      <c r="G66" s="1107"/>
      <c r="H66" s="1107"/>
      <c r="I66" s="138">
        <v>0</v>
      </c>
    </row>
    <row r="67" spans="1:10">
      <c r="A67" s="136" t="s">
        <v>264</v>
      </c>
      <c r="B67" s="1105" t="s">
        <v>299</v>
      </c>
      <c r="C67" s="1105"/>
      <c r="D67" s="1105"/>
      <c r="E67" s="1105"/>
      <c r="F67" s="1105"/>
      <c r="G67" s="1105"/>
      <c r="H67" s="1105"/>
      <c r="I67" s="129">
        <v>0</v>
      </c>
    </row>
    <row r="68" spans="1:10" ht="26.25" customHeight="1">
      <c r="A68" s="136" t="s">
        <v>272</v>
      </c>
      <c r="B68" s="1107" t="s">
        <v>3</v>
      </c>
      <c r="C68" s="1107"/>
      <c r="D68" s="1107"/>
      <c r="E68" s="1107"/>
      <c r="F68" s="1107"/>
      <c r="G68" s="1107"/>
      <c r="H68" s="1107"/>
      <c r="I68" s="138">
        <f>ROUND(0.001068*5000,2)</f>
        <v>5.34</v>
      </c>
    </row>
    <row r="69" spans="1:10" ht="26.25" customHeight="1">
      <c r="A69" s="136" t="s">
        <v>273</v>
      </c>
      <c r="B69" s="1107" t="s">
        <v>477</v>
      </c>
      <c r="C69" s="1064"/>
      <c r="D69" s="1064"/>
      <c r="E69" s="1064"/>
      <c r="F69" s="1064"/>
      <c r="G69" s="1064"/>
      <c r="H69" s="1108"/>
      <c r="I69" s="138">
        <v>9.3800000000000008</v>
      </c>
    </row>
    <row r="70" spans="1:10">
      <c r="A70" s="136" t="s">
        <v>274</v>
      </c>
      <c r="B70" s="1105" t="s">
        <v>126</v>
      </c>
      <c r="C70" s="1105"/>
      <c r="D70" s="1105"/>
      <c r="E70" s="1105"/>
      <c r="F70" s="1105"/>
      <c r="G70" s="1105"/>
      <c r="H70" s="1105"/>
      <c r="I70" s="129">
        <v>0</v>
      </c>
    </row>
    <row r="71" spans="1:10">
      <c r="A71" s="130"/>
      <c r="B71" s="1106" t="s">
        <v>358</v>
      </c>
      <c r="C71" s="1106"/>
      <c r="D71" s="1106"/>
      <c r="E71" s="1106"/>
      <c r="F71" s="1106"/>
      <c r="G71" s="1106"/>
      <c r="H71" s="1106"/>
      <c r="I71" s="142">
        <f>SUM(I61:I70)</f>
        <v>323.75</v>
      </c>
    </row>
    <row r="72" spans="1:10">
      <c r="A72" s="1099"/>
      <c r="B72" s="1099"/>
      <c r="C72" s="1099"/>
      <c r="D72" s="1099"/>
      <c r="E72" s="1099"/>
      <c r="F72" s="1099"/>
      <c r="G72" s="1099"/>
      <c r="H72" s="1099"/>
      <c r="I72" s="1099"/>
    </row>
    <row r="73" spans="1:10">
      <c r="A73" s="1091" t="s">
        <v>300</v>
      </c>
      <c r="B73" s="1091"/>
      <c r="C73" s="1091"/>
      <c r="D73" s="1091"/>
      <c r="E73" s="1091"/>
      <c r="F73" s="1091"/>
      <c r="G73" s="1091"/>
      <c r="H73" s="1091"/>
      <c r="I73" s="1091"/>
    </row>
    <row r="74" spans="1:10">
      <c r="A74" s="1097"/>
      <c r="B74" s="1097"/>
      <c r="C74" s="1097"/>
      <c r="D74" s="1097"/>
      <c r="E74" s="1097"/>
      <c r="F74" s="1097"/>
      <c r="G74" s="1097"/>
      <c r="H74" s="1097"/>
      <c r="I74" s="1097"/>
    </row>
    <row r="75" spans="1:10">
      <c r="A75" s="1104" t="s">
        <v>278</v>
      </c>
      <c r="B75" s="1104"/>
      <c r="C75" s="1104"/>
      <c r="D75" s="1104"/>
      <c r="E75" s="1104"/>
      <c r="F75" s="1104"/>
      <c r="G75" s="1104"/>
      <c r="H75" s="1104"/>
      <c r="I75" s="1104"/>
    </row>
    <row r="76" spans="1:10" ht="15">
      <c r="A76" s="137">
        <v>3</v>
      </c>
      <c r="B76" s="1083" t="s">
        <v>359</v>
      </c>
      <c r="C76" s="1083"/>
      <c r="D76" s="1083"/>
      <c r="E76" s="1083"/>
      <c r="F76" s="1083"/>
      <c r="G76" s="1083"/>
      <c r="H76" s="1083"/>
      <c r="I76" s="137" t="s">
        <v>127</v>
      </c>
    </row>
    <row r="77" spans="1:10" ht="15" customHeight="1">
      <c r="A77" s="136" t="s">
        <v>259</v>
      </c>
      <c r="B77" s="1082" t="s">
        <v>325</v>
      </c>
      <c r="C77" s="1082"/>
      <c r="D77" s="1082"/>
      <c r="E77" s="1082"/>
      <c r="F77" s="1082"/>
      <c r="G77" s="1082"/>
      <c r="H77" s="1082"/>
      <c r="I77" s="51">
        <v>30</v>
      </c>
      <c r="J77" s="220"/>
    </row>
    <row r="78" spans="1:10">
      <c r="A78" s="136" t="s">
        <v>261</v>
      </c>
      <c r="B78" s="1090" t="s">
        <v>326</v>
      </c>
      <c r="C78" s="1090"/>
      <c r="D78" s="1090"/>
      <c r="E78" s="1090"/>
      <c r="F78" s="1090"/>
      <c r="G78" s="1090"/>
      <c r="H78" s="1090"/>
      <c r="I78" s="221">
        <v>210</v>
      </c>
      <c r="J78" s="220"/>
    </row>
    <row r="79" spans="1:10">
      <c r="A79" s="136" t="s">
        <v>263</v>
      </c>
      <c r="B79" s="1086" t="s">
        <v>327</v>
      </c>
      <c r="C79" s="1086"/>
      <c r="D79" s="1086"/>
      <c r="E79" s="1086"/>
      <c r="F79" s="1086"/>
      <c r="G79" s="1086"/>
      <c r="H79" s="1086"/>
      <c r="I79" s="221">
        <v>38</v>
      </c>
      <c r="J79" s="220"/>
    </row>
    <row r="80" spans="1:10">
      <c r="A80" s="136" t="s">
        <v>264</v>
      </c>
      <c r="B80" s="1082" t="s">
        <v>126</v>
      </c>
      <c r="C80" s="1082"/>
      <c r="D80" s="1082"/>
      <c r="E80" s="1082"/>
      <c r="F80" s="1082"/>
      <c r="G80" s="1082"/>
      <c r="H80" s="1082"/>
      <c r="I80" s="221" t="s">
        <v>285</v>
      </c>
      <c r="J80" s="220"/>
    </row>
    <row r="81" spans="1:9">
      <c r="A81" s="1076" t="s">
        <v>360</v>
      </c>
      <c r="B81" s="1076"/>
      <c r="C81" s="1076"/>
      <c r="D81" s="1076"/>
      <c r="E81" s="1076"/>
      <c r="F81" s="1076"/>
      <c r="G81" s="1076"/>
      <c r="H81" s="1076"/>
      <c r="I81" s="54">
        <f>ROUND(SUM(I77:I80),2)</f>
        <v>278</v>
      </c>
    </row>
    <row r="82" spans="1:9" ht="18">
      <c r="A82" s="1101"/>
      <c r="B82" s="1101"/>
      <c r="C82" s="1101"/>
      <c r="D82" s="1101"/>
      <c r="E82" s="1101"/>
      <c r="F82" s="1101"/>
      <c r="G82" s="1101"/>
      <c r="H82" s="1101"/>
      <c r="I82" s="1101"/>
    </row>
    <row r="83" spans="1:9">
      <c r="A83" s="1167" t="s">
        <v>453</v>
      </c>
      <c r="B83" s="1102"/>
      <c r="C83" s="1102"/>
      <c r="D83" s="1102"/>
      <c r="E83" s="1102"/>
      <c r="F83" s="1102"/>
      <c r="G83" s="1102"/>
      <c r="H83" s="1102"/>
      <c r="I83" s="1102"/>
    </row>
    <row r="84" spans="1:9" ht="18">
      <c r="A84" s="145"/>
      <c r="B84" s="146"/>
      <c r="C84" s="146"/>
      <c r="D84" s="146"/>
      <c r="E84" s="146"/>
      <c r="F84" s="146"/>
      <c r="G84" s="146"/>
      <c r="H84" s="146"/>
      <c r="I84" s="147"/>
    </row>
    <row r="85" spans="1:9">
      <c r="A85" s="1103" t="s">
        <v>454</v>
      </c>
      <c r="B85" s="1103"/>
      <c r="C85" s="1103"/>
      <c r="D85" s="1103"/>
      <c r="E85" s="1103"/>
      <c r="F85" s="1103"/>
      <c r="G85" s="1103"/>
      <c r="H85" s="1103"/>
      <c r="I85" s="1103"/>
    </row>
    <row r="86" spans="1:9" ht="25.5">
      <c r="A86" s="148" t="s">
        <v>279</v>
      </c>
      <c r="B86" s="1083" t="s">
        <v>362</v>
      </c>
      <c r="C86" s="1083"/>
      <c r="D86" s="1083"/>
      <c r="E86" s="1083"/>
      <c r="F86" s="1083"/>
      <c r="G86" s="1083"/>
      <c r="H86" s="128" t="s">
        <v>363</v>
      </c>
      <c r="I86" s="126" t="s">
        <v>127</v>
      </c>
    </row>
    <row r="87" spans="1:9">
      <c r="A87" s="149" t="s">
        <v>259</v>
      </c>
      <c r="B87" s="1090" t="s">
        <v>128</v>
      </c>
      <c r="C87" s="1090"/>
      <c r="D87" s="1090"/>
      <c r="E87" s="1090"/>
      <c r="F87" s="1090"/>
      <c r="G87" s="1090"/>
      <c r="H87" s="150">
        <v>0.2</v>
      </c>
      <c r="I87" s="151">
        <f t="shared" ref="I87:I94" si="0">ROUND($I$58*H87,2)</f>
        <v>259.36</v>
      </c>
    </row>
    <row r="88" spans="1:9">
      <c r="A88" s="149" t="s">
        <v>261</v>
      </c>
      <c r="B88" s="1090" t="s">
        <v>129</v>
      </c>
      <c r="C88" s="1090"/>
      <c r="D88" s="1090"/>
      <c r="E88" s="1090"/>
      <c r="F88" s="1090"/>
      <c r="G88" s="1090"/>
      <c r="H88" s="150">
        <v>1.4999999999999999E-2</v>
      </c>
      <c r="I88" s="151">
        <f t="shared" si="0"/>
        <v>19.45</v>
      </c>
    </row>
    <row r="89" spans="1:9">
      <c r="A89" s="149" t="s">
        <v>263</v>
      </c>
      <c r="B89" s="1090" t="s">
        <v>130</v>
      </c>
      <c r="C89" s="1090"/>
      <c r="D89" s="1090"/>
      <c r="E89" s="1090"/>
      <c r="F89" s="1090"/>
      <c r="G89" s="1090"/>
      <c r="H89" s="150">
        <v>0.01</v>
      </c>
      <c r="I89" s="151">
        <f t="shared" si="0"/>
        <v>12.97</v>
      </c>
    </row>
    <row r="90" spans="1:9">
      <c r="A90" s="149" t="s">
        <v>264</v>
      </c>
      <c r="B90" s="1090" t="s">
        <v>131</v>
      </c>
      <c r="C90" s="1090"/>
      <c r="D90" s="1090"/>
      <c r="E90" s="1090"/>
      <c r="F90" s="1090"/>
      <c r="G90" s="1090"/>
      <c r="H90" s="150">
        <v>2E-3</v>
      </c>
      <c r="I90" s="151">
        <f t="shared" si="0"/>
        <v>2.59</v>
      </c>
    </row>
    <row r="91" spans="1:9">
      <c r="A91" s="149" t="s">
        <v>272</v>
      </c>
      <c r="B91" s="1082" t="s">
        <v>301</v>
      </c>
      <c r="C91" s="1082"/>
      <c r="D91" s="1082"/>
      <c r="E91" s="1082"/>
      <c r="F91" s="1082"/>
      <c r="G91" s="1082"/>
      <c r="H91" s="152">
        <v>2.5000000000000001E-2</v>
      </c>
      <c r="I91" s="151">
        <f t="shared" si="0"/>
        <v>32.42</v>
      </c>
    </row>
    <row r="92" spans="1:9">
      <c r="A92" s="149" t="s">
        <v>273</v>
      </c>
      <c r="B92" s="1082" t="s">
        <v>132</v>
      </c>
      <c r="C92" s="1082"/>
      <c r="D92" s="1082"/>
      <c r="E92" s="1082"/>
      <c r="F92" s="1082"/>
      <c r="G92" s="1082"/>
      <c r="H92" s="152">
        <v>0.08</v>
      </c>
      <c r="I92" s="151">
        <f t="shared" si="0"/>
        <v>103.74</v>
      </c>
    </row>
    <row r="93" spans="1:9" ht="56.25" customHeight="1">
      <c r="A93" s="149" t="s">
        <v>274</v>
      </c>
      <c r="B93" s="1100" t="s">
        <v>4</v>
      </c>
      <c r="C93" s="1100"/>
      <c r="D93" s="153" t="s">
        <v>342</v>
      </c>
      <c r="E93" s="154">
        <v>0.03</v>
      </c>
      <c r="F93" s="153" t="s">
        <v>455</v>
      </c>
      <c r="G93" s="155">
        <v>1</v>
      </c>
      <c r="H93" s="156">
        <f>ROUND((E93*G93),6)</f>
        <v>0.03</v>
      </c>
      <c r="I93" s="151">
        <f t="shared" si="0"/>
        <v>38.9</v>
      </c>
    </row>
    <row r="94" spans="1:9">
      <c r="A94" s="149" t="s">
        <v>275</v>
      </c>
      <c r="B94" s="1082" t="s">
        <v>133</v>
      </c>
      <c r="C94" s="1082"/>
      <c r="D94" s="1082"/>
      <c r="E94" s="1082"/>
      <c r="F94" s="1082"/>
      <c r="G94" s="1082"/>
      <c r="H94" s="152">
        <v>6.0000000000000001E-3</v>
      </c>
      <c r="I94" s="151">
        <f t="shared" si="0"/>
        <v>7.78</v>
      </c>
    </row>
    <row r="95" spans="1:9">
      <c r="A95" s="1076" t="s">
        <v>134</v>
      </c>
      <c r="B95" s="1076"/>
      <c r="C95" s="1076"/>
      <c r="D95" s="1076"/>
      <c r="E95" s="1076"/>
      <c r="F95" s="1076"/>
      <c r="G95" s="1076"/>
      <c r="H95" s="157">
        <f>SUM(H87:H94)</f>
        <v>0.3680000000000001</v>
      </c>
      <c r="I95" s="142">
        <f>SUM(I87:I94)</f>
        <v>477.21</v>
      </c>
    </row>
    <row r="96" spans="1:9">
      <c r="A96" s="158"/>
      <c r="B96" s="159"/>
      <c r="C96" s="159"/>
      <c r="D96" s="159"/>
      <c r="E96" s="159"/>
      <c r="F96" s="159"/>
      <c r="G96" s="159"/>
      <c r="H96" s="160"/>
      <c r="I96" s="161"/>
    </row>
    <row r="97" spans="1:15">
      <c r="A97" s="1068" t="s">
        <v>387</v>
      </c>
      <c r="B97" s="1068"/>
      <c r="C97" s="1068"/>
      <c r="D97" s="1068"/>
      <c r="E97" s="1068"/>
      <c r="F97" s="1068"/>
      <c r="G97" s="1068"/>
      <c r="H97" s="1068"/>
      <c r="I97" s="1068"/>
    </row>
    <row r="98" spans="1:15">
      <c r="A98" s="1099"/>
      <c r="B98" s="1099"/>
      <c r="C98" s="1099"/>
      <c r="D98" s="1099"/>
      <c r="E98" s="1099"/>
      <c r="F98" s="1099"/>
      <c r="G98" s="1099"/>
      <c r="H98" s="1099"/>
      <c r="I98" s="1099"/>
    </row>
    <row r="99" spans="1:15" ht="15">
      <c r="A99" s="1089" t="s">
        <v>365</v>
      </c>
      <c r="B99" s="1089"/>
      <c r="C99" s="1089"/>
      <c r="D99" s="1089"/>
      <c r="E99" s="1089"/>
      <c r="F99" s="1089"/>
      <c r="G99" s="1089"/>
      <c r="H99" s="1089"/>
      <c r="I99" s="1089"/>
    </row>
    <row r="100" spans="1:15" ht="15">
      <c r="A100" s="137" t="s">
        <v>280</v>
      </c>
      <c r="B100" s="1083" t="s">
        <v>367</v>
      </c>
      <c r="C100" s="1083"/>
      <c r="D100" s="1083"/>
      <c r="E100" s="1083"/>
      <c r="F100" s="1083"/>
      <c r="G100" s="1083"/>
      <c r="H100" s="1083"/>
      <c r="I100" s="137" t="s">
        <v>127</v>
      </c>
    </row>
    <row r="101" spans="1:15" ht="24" customHeight="1">
      <c r="A101" s="136" t="s">
        <v>259</v>
      </c>
      <c r="B101" s="1090" t="s">
        <v>79</v>
      </c>
      <c r="C101" s="1090"/>
      <c r="D101" s="1090"/>
      <c r="E101" s="1090"/>
      <c r="F101" s="1090"/>
      <c r="G101" s="1090"/>
      <c r="H101" s="1090"/>
      <c r="I101" s="151">
        <f>ROUND($I$58*0.0833,2)</f>
        <v>108.02</v>
      </c>
      <c r="K101">
        <f>100/12</f>
        <v>8.3333333333333339</v>
      </c>
      <c r="L101">
        <f>4/12</f>
        <v>0.33333333333333331</v>
      </c>
    </row>
    <row r="102" spans="1:15">
      <c r="A102" s="1076" t="s">
        <v>281</v>
      </c>
      <c r="B102" s="1076"/>
      <c r="C102" s="1076"/>
      <c r="D102" s="1076"/>
      <c r="E102" s="1076"/>
      <c r="F102" s="1076"/>
      <c r="G102" s="1076"/>
      <c r="H102" s="1076"/>
      <c r="I102" s="162">
        <f>SUM(I101:I101)</f>
        <v>108.02</v>
      </c>
    </row>
    <row r="103" spans="1:15">
      <c r="A103" s="136" t="s">
        <v>261</v>
      </c>
      <c r="B103" s="1098" t="s">
        <v>5</v>
      </c>
      <c r="C103" s="1098"/>
      <c r="D103" s="1098"/>
      <c r="E103" s="1098"/>
      <c r="F103" s="1098"/>
      <c r="G103" s="1098"/>
      <c r="H103" s="1098"/>
      <c r="I103" s="163">
        <f>ROUND(H95*I102,2)</f>
        <v>39.75</v>
      </c>
    </row>
    <row r="104" spans="1:15">
      <c r="A104" s="1076" t="s">
        <v>134</v>
      </c>
      <c r="B104" s="1076"/>
      <c r="C104" s="1076"/>
      <c r="D104" s="1076"/>
      <c r="E104" s="1076"/>
      <c r="F104" s="1076"/>
      <c r="G104" s="1076"/>
      <c r="H104" s="1076"/>
      <c r="I104" s="143">
        <f>SUM(I102:I103)</f>
        <v>147.76999999999998</v>
      </c>
    </row>
    <row r="105" spans="1:15">
      <c r="A105" s="1097"/>
      <c r="B105" s="1097"/>
      <c r="C105" s="1097"/>
      <c r="D105" s="1097"/>
      <c r="E105" s="1097"/>
      <c r="F105" s="1097"/>
      <c r="G105" s="1097"/>
      <c r="H105" s="1097"/>
      <c r="I105" s="1097"/>
    </row>
    <row r="106" spans="1:15" ht="15">
      <c r="A106" s="1089" t="s">
        <v>368</v>
      </c>
      <c r="B106" s="1089"/>
      <c r="C106" s="1089"/>
      <c r="D106" s="1089"/>
      <c r="E106" s="1089"/>
      <c r="F106" s="1089"/>
      <c r="G106" s="1089"/>
      <c r="H106" s="1089"/>
      <c r="I106" s="1089"/>
    </row>
    <row r="107" spans="1:15" ht="15">
      <c r="A107" s="137" t="s">
        <v>282</v>
      </c>
      <c r="B107" s="1081" t="s">
        <v>287</v>
      </c>
      <c r="C107" s="1081"/>
      <c r="D107" s="1081"/>
      <c r="E107" s="1081"/>
      <c r="F107" s="1081"/>
      <c r="G107" s="1081"/>
      <c r="H107" s="1081"/>
      <c r="I107" s="137" t="s">
        <v>127</v>
      </c>
    </row>
    <row r="108" spans="1:15">
      <c r="A108" s="136" t="s">
        <v>259</v>
      </c>
      <c r="B108" s="1082" t="s">
        <v>6</v>
      </c>
      <c r="C108" s="1082"/>
      <c r="D108" s="1082"/>
      <c r="E108" s="1082"/>
      <c r="F108" s="1082"/>
      <c r="G108" s="1082"/>
      <c r="H108" s="1082"/>
      <c r="I108" s="151">
        <f>ROUND((((I58+(1/3*I58))/12)*(4/12))*2%,2)</f>
        <v>0.96</v>
      </c>
      <c r="K108">
        <f>4/12*I58</f>
        <v>432.26</v>
      </c>
      <c r="L108">
        <f>K108*2%</f>
        <v>8.6452000000000009</v>
      </c>
      <c r="M108" s="216">
        <f>I58</f>
        <v>1296.78</v>
      </c>
      <c r="O108">
        <f>ROUND((((I58+(1/3*I58))/12)*(4/12))*2%,2)</f>
        <v>0.96</v>
      </c>
    </row>
    <row r="109" spans="1:15">
      <c r="A109" s="136" t="s">
        <v>261</v>
      </c>
      <c r="B109" s="1082" t="s">
        <v>424</v>
      </c>
      <c r="C109" s="1082"/>
      <c r="D109" s="1082"/>
      <c r="E109" s="1082"/>
      <c r="F109" s="1082"/>
      <c r="G109" s="1082"/>
      <c r="H109" s="1082"/>
      <c r="I109" s="151">
        <f>ROUND(H95*I108,2)</f>
        <v>0.35</v>
      </c>
      <c r="M109">
        <f>+M108/3</f>
        <v>432.26</v>
      </c>
    </row>
    <row r="110" spans="1:15">
      <c r="A110" s="1076" t="s">
        <v>134</v>
      </c>
      <c r="B110" s="1076"/>
      <c r="C110" s="1076"/>
      <c r="D110" s="1076"/>
      <c r="E110" s="1076"/>
      <c r="F110" s="1076"/>
      <c r="G110" s="1076"/>
      <c r="H110" s="1076"/>
      <c r="I110" s="142">
        <f>SUM(I108:I109)</f>
        <v>1.31</v>
      </c>
      <c r="M110" s="216">
        <f>SUM(M108:M109)</f>
        <v>1729.04</v>
      </c>
      <c r="N110">
        <f>M110/12</f>
        <v>144.08666666666667</v>
      </c>
    </row>
    <row r="111" spans="1:15" ht="15">
      <c r="A111" s="1085" t="s">
        <v>369</v>
      </c>
      <c r="B111" s="1085"/>
      <c r="C111" s="1085"/>
      <c r="D111" s="1085"/>
      <c r="E111" s="1085"/>
      <c r="F111" s="1085"/>
      <c r="G111" s="1085"/>
      <c r="H111" s="1085"/>
      <c r="I111" s="1085"/>
      <c r="N111">
        <f>4/12</f>
        <v>0.33333333333333331</v>
      </c>
    </row>
    <row r="112" spans="1:15" ht="15">
      <c r="A112" s="137" t="s">
        <v>283</v>
      </c>
      <c r="B112" s="1081" t="s">
        <v>370</v>
      </c>
      <c r="C112" s="1081"/>
      <c r="D112" s="1081"/>
      <c r="E112" s="1081"/>
      <c r="F112" s="1081"/>
      <c r="G112" s="1081"/>
      <c r="H112" s="1081"/>
      <c r="I112" s="137" t="s">
        <v>127</v>
      </c>
      <c r="N112">
        <f>N111*N110</f>
        <v>48.028888888888886</v>
      </c>
      <c r="O112">
        <f>+N112*0.02</f>
        <v>0.96057777777777775</v>
      </c>
    </row>
    <row r="113" spans="1:9" ht="45" customHeight="1">
      <c r="A113" s="52" t="s">
        <v>259</v>
      </c>
      <c r="B113" s="1095" t="s">
        <v>38</v>
      </c>
      <c r="C113" s="1087"/>
      <c r="D113" s="1087"/>
      <c r="E113" s="1087"/>
      <c r="F113" s="1087"/>
      <c r="G113" s="1087"/>
      <c r="H113" s="1096"/>
      <c r="I113" s="51">
        <f>ROUND((($I$58/12)+($I$101/12)+($I$122/12))*(30/30)*0.05,2)</f>
        <v>6.51</v>
      </c>
    </row>
    <row r="114" spans="1:9">
      <c r="A114" s="136" t="s">
        <v>261</v>
      </c>
      <c r="B114" s="1086" t="s">
        <v>7</v>
      </c>
      <c r="C114" s="1086"/>
      <c r="D114" s="1086"/>
      <c r="E114" s="1086"/>
      <c r="F114" s="1086"/>
      <c r="G114" s="1086"/>
      <c r="H114" s="1086"/>
      <c r="I114" s="151">
        <f>ROUND($H$92*I113,2)</f>
        <v>0.52</v>
      </c>
    </row>
    <row r="115" spans="1:9" ht="36" customHeight="1">
      <c r="A115" s="136" t="s">
        <v>263</v>
      </c>
      <c r="B115" s="1090" t="s">
        <v>8</v>
      </c>
      <c r="C115" s="1090"/>
      <c r="D115" s="1090"/>
      <c r="E115" s="1090"/>
      <c r="F115" s="1090"/>
      <c r="G115" s="1090"/>
      <c r="H115" s="1090"/>
      <c r="I115" s="151">
        <f>ROUND(0.0024*I58,2)</f>
        <v>3.11</v>
      </c>
    </row>
    <row r="116" spans="1:9" ht="25.5" customHeight="1">
      <c r="A116" s="136" t="s">
        <v>264</v>
      </c>
      <c r="B116" s="1090" t="s">
        <v>432</v>
      </c>
      <c r="C116" s="1090"/>
      <c r="D116" s="1090"/>
      <c r="E116" s="1090"/>
      <c r="F116" s="1090"/>
      <c r="G116" s="1090"/>
      <c r="H116" s="1090"/>
      <c r="I116" s="151">
        <f>ROUND(((7/30)/$H$11)*$I$58*0.9,2)</f>
        <v>22.69</v>
      </c>
    </row>
    <row r="117" spans="1:9">
      <c r="A117" s="136" t="s">
        <v>272</v>
      </c>
      <c r="B117" s="1086" t="s">
        <v>423</v>
      </c>
      <c r="C117" s="1086"/>
      <c r="D117" s="1086"/>
      <c r="E117" s="1086"/>
      <c r="F117" s="1086"/>
      <c r="G117" s="1086"/>
      <c r="H117" s="1086"/>
      <c r="I117" s="151">
        <f>ROUND($H$95*I116,2)</f>
        <v>8.35</v>
      </c>
    </row>
    <row r="118" spans="1:9" ht="36" customHeight="1">
      <c r="A118" s="136" t="s">
        <v>273</v>
      </c>
      <c r="B118" s="1091" t="s">
        <v>9</v>
      </c>
      <c r="C118" s="1091"/>
      <c r="D118" s="1091"/>
      <c r="E118" s="1091"/>
      <c r="F118" s="1091"/>
      <c r="G118" s="1091"/>
      <c r="H118" s="1091"/>
      <c r="I118" s="151">
        <f>ROUND(0.0476*I58,2)</f>
        <v>61.73</v>
      </c>
    </row>
    <row r="119" spans="1:9">
      <c r="A119" s="1076" t="s">
        <v>134</v>
      </c>
      <c r="B119" s="1076"/>
      <c r="C119" s="1076"/>
      <c r="D119" s="1076"/>
      <c r="E119" s="1076"/>
      <c r="F119" s="1076"/>
      <c r="G119" s="1076"/>
      <c r="H119" s="1076"/>
      <c r="I119" s="142">
        <f>SUM(I113:I118)</f>
        <v>102.91</v>
      </c>
    </row>
    <row r="120" spans="1:9" ht="15">
      <c r="A120" s="1089" t="s">
        <v>10</v>
      </c>
      <c r="B120" s="1089"/>
      <c r="C120" s="1089"/>
      <c r="D120" s="1089"/>
      <c r="E120" s="1089"/>
      <c r="F120" s="1089"/>
      <c r="G120" s="1089"/>
      <c r="H120" s="1089"/>
      <c r="I120" s="1089"/>
    </row>
    <row r="121" spans="1:9" ht="15">
      <c r="A121" s="164" t="s">
        <v>284</v>
      </c>
      <c r="B121" s="1081" t="s">
        <v>350</v>
      </c>
      <c r="C121" s="1081"/>
      <c r="D121" s="1081"/>
      <c r="E121" s="1081"/>
      <c r="F121" s="1081"/>
      <c r="G121" s="1081"/>
      <c r="H121" s="1081"/>
      <c r="I121" s="164" t="s">
        <v>127</v>
      </c>
    </row>
    <row r="122" spans="1:9" ht="36.75" customHeight="1">
      <c r="A122" s="165" t="s">
        <v>259</v>
      </c>
      <c r="B122" s="1090" t="s">
        <v>11</v>
      </c>
      <c r="C122" s="1090"/>
      <c r="D122" s="1090"/>
      <c r="E122" s="1090"/>
      <c r="F122" s="1090"/>
      <c r="G122" s="1090"/>
      <c r="H122" s="1090"/>
      <c r="I122" s="151">
        <f>ROUND($I$58*0.121,2)</f>
        <v>156.91</v>
      </c>
    </row>
    <row r="123" spans="1:9">
      <c r="A123" s="165" t="s">
        <v>261</v>
      </c>
      <c r="B123" s="1086" t="s">
        <v>12</v>
      </c>
      <c r="C123" s="1086"/>
      <c r="D123" s="1086"/>
      <c r="E123" s="1086"/>
      <c r="F123" s="1086"/>
      <c r="G123" s="1086"/>
      <c r="H123" s="1086"/>
      <c r="I123" s="166">
        <f>ROUND(((5/30)/12)*$I$58,2)</f>
        <v>18.010000000000002</v>
      </c>
    </row>
    <row r="124" spans="1:9">
      <c r="A124" s="165" t="s">
        <v>263</v>
      </c>
      <c r="B124" s="1086" t="s">
        <v>13</v>
      </c>
      <c r="C124" s="1086"/>
      <c r="D124" s="1086"/>
      <c r="E124" s="1086"/>
      <c r="F124" s="1086"/>
      <c r="G124" s="1086"/>
      <c r="H124" s="1086"/>
      <c r="I124" s="166">
        <f>ROUND((5/30)/12*0.015*I58,2)</f>
        <v>0.27</v>
      </c>
    </row>
    <row r="125" spans="1:9">
      <c r="A125" s="165" t="s">
        <v>264</v>
      </c>
      <c r="B125" s="1086" t="s">
        <v>14</v>
      </c>
      <c r="C125" s="1086"/>
      <c r="D125" s="1086"/>
      <c r="E125" s="1086"/>
      <c r="F125" s="1086"/>
      <c r="G125" s="1086"/>
      <c r="H125" s="1086"/>
      <c r="I125" s="166">
        <f>ROUND((2.96/30)/12*I58,2)</f>
        <v>10.66</v>
      </c>
    </row>
    <row r="126" spans="1:9">
      <c r="A126" s="165" t="s">
        <v>272</v>
      </c>
      <c r="B126" s="1086" t="s">
        <v>112</v>
      </c>
      <c r="C126" s="1086"/>
      <c r="D126" s="1086"/>
      <c r="E126" s="1086"/>
      <c r="F126" s="1086"/>
      <c r="G126" s="1086"/>
      <c r="H126" s="1086"/>
      <c r="I126" s="167">
        <f>ROUND(((($I$58/30)*15)/12)*0.0078,2)</f>
        <v>0.42</v>
      </c>
    </row>
    <row r="127" spans="1:9">
      <c r="A127" s="165" t="s">
        <v>273</v>
      </c>
      <c r="B127" s="1086" t="s">
        <v>126</v>
      </c>
      <c r="C127" s="1086"/>
      <c r="D127" s="1086"/>
      <c r="E127" s="1086"/>
      <c r="F127" s="1086"/>
      <c r="G127" s="1086"/>
      <c r="H127" s="1086"/>
      <c r="I127" s="167">
        <v>0</v>
      </c>
    </row>
    <row r="128" spans="1:9">
      <c r="A128" s="1076" t="s">
        <v>281</v>
      </c>
      <c r="B128" s="1076"/>
      <c r="C128" s="1076"/>
      <c r="D128" s="1076"/>
      <c r="E128" s="1076"/>
      <c r="F128" s="1076"/>
      <c r="G128" s="1076"/>
      <c r="H128" s="1076"/>
      <c r="I128" s="168">
        <f>SUM(I122:I127)</f>
        <v>186.26999999999998</v>
      </c>
    </row>
    <row r="129" spans="1:12">
      <c r="A129" s="165" t="s">
        <v>274</v>
      </c>
      <c r="B129" s="1084" t="s">
        <v>425</v>
      </c>
      <c r="C129" s="1084"/>
      <c r="D129" s="1084"/>
      <c r="E129" s="1084"/>
      <c r="F129" s="1084"/>
      <c r="G129" s="1084"/>
      <c r="H129" s="1084"/>
      <c r="I129" s="167">
        <f>ROUND(H95*I128,2)</f>
        <v>68.55</v>
      </c>
    </row>
    <row r="130" spans="1:12">
      <c r="A130" s="1076" t="s">
        <v>134</v>
      </c>
      <c r="B130" s="1076"/>
      <c r="C130" s="1076"/>
      <c r="D130" s="1076"/>
      <c r="E130" s="1076"/>
      <c r="F130" s="1076"/>
      <c r="G130" s="1076"/>
      <c r="H130" s="1076"/>
      <c r="I130" s="142">
        <f>SUM(I128:I129)</f>
        <v>254.82</v>
      </c>
    </row>
    <row r="131" spans="1:12" ht="15">
      <c r="A131" s="1085" t="s">
        <v>15</v>
      </c>
      <c r="B131" s="1085"/>
      <c r="C131" s="1085"/>
      <c r="D131" s="1085"/>
      <c r="E131" s="1085"/>
      <c r="F131" s="1085"/>
      <c r="G131" s="1085"/>
      <c r="H131" s="1085"/>
      <c r="I131" s="1085"/>
    </row>
    <row r="132" spans="1:12" ht="15">
      <c r="A132" s="137">
        <v>4</v>
      </c>
      <c r="B132" s="1083" t="s">
        <v>372</v>
      </c>
      <c r="C132" s="1083"/>
      <c r="D132" s="1083"/>
      <c r="E132" s="1083"/>
      <c r="F132" s="1083"/>
      <c r="G132" s="1083"/>
      <c r="H132" s="1083"/>
      <c r="I132" s="137" t="s">
        <v>127</v>
      </c>
    </row>
    <row r="133" spans="1:12">
      <c r="A133" s="136" t="s">
        <v>279</v>
      </c>
      <c r="B133" s="1082" t="s">
        <v>362</v>
      </c>
      <c r="C133" s="1082"/>
      <c r="D133" s="1082"/>
      <c r="E133" s="1082"/>
      <c r="F133" s="1082"/>
      <c r="G133" s="1082"/>
      <c r="H133" s="1082"/>
      <c r="I133" s="138">
        <f>I95</f>
        <v>477.21</v>
      </c>
    </row>
    <row r="134" spans="1:12">
      <c r="A134" s="136" t="s">
        <v>280</v>
      </c>
      <c r="B134" s="1082" t="s">
        <v>16</v>
      </c>
      <c r="C134" s="1082"/>
      <c r="D134" s="1082"/>
      <c r="E134" s="1082"/>
      <c r="F134" s="1082"/>
      <c r="G134" s="1082"/>
      <c r="H134" s="1082"/>
      <c r="I134" s="138">
        <f>I104</f>
        <v>147.76999999999998</v>
      </c>
    </row>
    <row r="135" spans="1:12">
      <c r="A135" s="136" t="s">
        <v>282</v>
      </c>
      <c r="B135" s="1082" t="s">
        <v>287</v>
      </c>
      <c r="C135" s="1082"/>
      <c r="D135" s="1082"/>
      <c r="E135" s="1082"/>
      <c r="F135" s="1082"/>
      <c r="G135" s="1082"/>
      <c r="H135" s="1082"/>
      <c r="I135" s="138">
        <f>I110</f>
        <v>1.31</v>
      </c>
    </row>
    <row r="136" spans="1:12">
      <c r="A136" s="136" t="s">
        <v>283</v>
      </c>
      <c r="B136" s="1082" t="s">
        <v>288</v>
      </c>
      <c r="C136" s="1082"/>
      <c r="D136" s="1082"/>
      <c r="E136" s="1082"/>
      <c r="F136" s="1082"/>
      <c r="G136" s="1082"/>
      <c r="H136" s="1082"/>
      <c r="I136" s="138">
        <f>I119</f>
        <v>102.91</v>
      </c>
    </row>
    <row r="137" spans="1:12">
      <c r="A137" s="136" t="s">
        <v>284</v>
      </c>
      <c r="B137" s="1082" t="s">
        <v>289</v>
      </c>
      <c r="C137" s="1082"/>
      <c r="D137" s="1082"/>
      <c r="E137" s="1082"/>
      <c r="F137" s="1082"/>
      <c r="G137" s="1082"/>
      <c r="H137" s="1082"/>
      <c r="I137" s="138">
        <f>I130</f>
        <v>254.82</v>
      </c>
    </row>
    <row r="138" spans="1:12">
      <c r="A138" s="136" t="s">
        <v>286</v>
      </c>
      <c r="B138" s="1082" t="s">
        <v>126</v>
      </c>
      <c r="C138" s="1082"/>
      <c r="D138" s="1082"/>
      <c r="E138" s="1082"/>
      <c r="F138" s="1082"/>
      <c r="G138" s="1082"/>
      <c r="H138" s="1082"/>
      <c r="I138" s="138">
        <v>0</v>
      </c>
    </row>
    <row r="139" spans="1:12">
      <c r="A139" s="1076" t="s">
        <v>134</v>
      </c>
      <c r="B139" s="1076"/>
      <c r="C139" s="1076"/>
      <c r="D139" s="1076"/>
      <c r="E139" s="1076"/>
      <c r="F139" s="1076"/>
      <c r="G139" s="1076"/>
      <c r="H139" s="1076"/>
      <c r="I139" s="142">
        <f>SUM(I133:I138)</f>
        <v>984.02</v>
      </c>
    </row>
    <row r="140" spans="1:12">
      <c r="A140" s="1080" t="s">
        <v>333</v>
      </c>
      <c r="B140" s="1080"/>
      <c r="C140" s="1080"/>
      <c r="D140" s="1080"/>
      <c r="E140" s="1080"/>
      <c r="F140" s="1080"/>
      <c r="G140" s="1080"/>
      <c r="H140" s="1080"/>
      <c r="I140" s="1080"/>
    </row>
    <row r="141" spans="1:12" ht="25.5">
      <c r="A141" s="137">
        <v>5</v>
      </c>
      <c r="B141" s="1081" t="s">
        <v>374</v>
      </c>
      <c r="C141" s="1081"/>
      <c r="D141" s="1081"/>
      <c r="E141" s="1081"/>
      <c r="F141" s="1081"/>
      <c r="G141" s="1081"/>
      <c r="H141" s="128" t="s">
        <v>363</v>
      </c>
      <c r="I141" s="169" t="s">
        <v>127</v>
      </c>
    </row>
    <row r="142" spans="1:12" ht="36" customHeight="1">
      <c r="A142" s="1078" t="s">
        <v>17</v>
      </c>
      <c r="B142" s="1078"/>
      <c r="C142" s="1078"/>
      <c r="D142" s="1078"/>
      <c r="E142" s="1078"/>
      <c r="F142" s="1078"/>
      <c r="G142" s="1078"/>
      <c r="H142" s="170" t="s">
        <v>227</v>
      </c>
      <c r="I142" s="171">
        <f>SUM(I58+I71+I81+I139)</f>
        <v>2882.55</v>
      </c>
      <c r="L142" s="219">
        <f>278/I142</f>
        <v>9.6442386081767875E-2</v>
      </c>
    </row>
    <row r="143" spans="1:12" ht="15">
      <c r="A143" s="136" t="s">
        <v>259</v>
      </c>
      <c r="B143" s="1079" t="s">
        <v>18</v>
      </c>
      <c r="C143" s="1079"/>
      <c r="D143" s="1079"/>
      <c r="E143" s="1079"/>
      <c r="F143" s="1079"/>
      <c r="G143" s="1079"/>
      <c r="H143" s="152">
        <v>0.03</v>
      </c>
      <c r="I143" s="151">
        <f>ROUND(H143*I142,2)</f>
        <v>86.48</v>
      </c>
    </row>
    <row r="144" spans="1:12" ht="36.75" customHeight="1">
      <c r="A144" s="1078" t="s">
        <v>318</v>
      </c>
      <c r="B144" s="1078"/>
      <c r="C144" s="1078"/>
      <c r="D144" s="1078"/>
      <c r="E144" s="1078"/>
      <c r="F144" s="1078"/>
      <c r="G144" s="1078"/>
      <c r="H144" s="172" t="s">
        <v>227</v>
      </c>
      <c r="I144" s="171">
        <f>SUM(I58+I71+I81+I139+I143)</f>
        <v>2969.03</v>
      </c>
    </row>
    <row r="145" spans="1:9" ht="15">
      <c r="A145" s="136" t="s">
        <v>261</v>
      </c>
      <c r="B145" s="1079" t="s">
        <v>290</v>
      </c>
      <c r="C145" s="1079"/>
      <c r="D145" s="1079"/>
      <c r="E145" s="1079"/>
      <c r="F145" s="1079"/>
      <c r="G145" s="1079"/>
      <c r="H145" s="152">
        <v>6.7900000000000002E-2</v>
      </c>
      <c r="I145" s="151">
        <f>ROUND(H145*I144,2)</f>
        <v>201.6</v>
      </c>
    </row>
    <row r="146" spans="1:9" ht="39.75" customHeight="1">
      <c r="A146" s="1078" t="s">
        <v>336</v>
      </c>
      <c r="B146" s="1078"/>
      <c r="C146" s="1078"/>
      <c r="D146" s="1078"/>
      <c r="E146" s="1078"/>
      <c r="F146" s="1078"/>
      <c r="G146" s="1078"/>
      <c r="H146" s="172" t="s">
        <v>227</v>
      </c>
      <c r="I146" s="171">
        <f>SUM(I58+I71+I81+I139+I143+I145)</f>
        <v>3170.63</v>
      </c>
    </row>
    <row r="147" spans="1:9">
      <c r="A147" s="136" t="s">
        <v>263</v>
      </c>
      <c r="B147" s="1077" t="s">
        <v>291</v>
      </c>
      <c r="C147" s="1077"/>
      <c r="D147" s="1077"/>
      <c r="E147" s="1077"/>
      <c r="F147" s="1077"/>
      <c r="G147" s="1077"/>
      <c r="H147" s="173" t="s">
        <v>227</v>
      </c>
      <c r="I147" s="174" t="s">
        <v>227</v>
      </c>
    </row>
    <row r="148" spans="1:9">
      <c r="A148" s="136"/>
      <c r="B148" s="1077" t="s">
        <v>19</v>
      </c>
      <c r="C148" s="1077"/>
      <c r="D148" s="1077"/>
      <c r="E148" s="1077"/>
      <c r="F148" s="1077"/>
      <c r="G148" s="1077"/>
      <c r="H148" s="173" t="s">
        <v>227</v>
      </c>
      <c r="I148" s="174" t="s">
        <v>227</v>
      </c>
    </row>
    <row r="149" spans="1:9">
      <c r="A149" s="136"/>
      <c r="B149" s="1068" t="s">
        <v>20</v>
      </c>
      <c r="C149" s="1068"/>
      <c r="D149" s="1068"/>
      <c r="E149" s="1068"/>
      <c r="F149" s="1068"/>
      <c r="G149" s="1068"/>
      <c r="H149" s="175">
        <v>7.5999999999999998E-2</v>
      </c>
      <c r="I149" s="151">
        <f>ROUND(($I$146/(1-$H$157))*H149,2)</f>
        <v>274.61</v>
      </c>
    </row>
    <row r="150" spans="1:9">
      <c r="A150" s="136"/>
      <c r="B150" s="1068" t="s">
        <v>21</v>
      </c>
      <c r="C150" s="1068"/>
      <c r="D150" s="1068"/>
      <c r="E150" s="1068"/>
      <c r="F150" s="1068"/>
      <c r="G150" s="1068"/>
      <c r="H150" s="175">
        <v>1.6500000000000001E-2</v>
      </c>
      <c r="I150" s="151">
        <f>ROUND(($I$146/(1-$H$157))*H150,2)</f>
        <v>59.62</v>
      </c>
    </row>
    <row r="151" spans="1:9" ht="24" customHeight="1">
      <c r="A151" s="136"/>
      <c r="B151" s="1078" t="s">
        <v>308</v>
      </c>
      <c r="C151" s="1078"/>
      <c r="D151" s="1078"/>
      <c r="E151" s="1078"/>
      <c r="F151" s="1078"/>
      <c r="G151" s="1078"/>
      <c r="H151" s="176" t="s">
        <v>227</v>
      </c>
      <c r="I151" s="174" t="s">
        <v>227</v>
      </c>
    </row>
    <row r="152" spans="1:9">
      <c r="A152" s="136"/>
      <c r="B152" s="1073" t="s">
        <v>22</v>
      </c>
      <c r="C152" s="1073"/>
      <c r="D152" s="1073"/>
      <c r="E152" s="1073"/>
      <c r="F152" s="1073"/>
      <c r="G152" s="1073"/>
      <c r="H152" s="176" t="s">
        <v>227</v>
      </c>
      <c r="I152" s="174" t="s">
        <v>227</v>
      </c>
    </row>
    <row r="153" spans="1:9">
      <c r="A153" s="136"/>
      <c r="B153" s="1074" t="s">
        <v>23</v>
      </c>
      <c r="C153" s="1074"/>
      <c r="D153" s="1074"/>
      <c r="E153" s="1074"/>
      <c r="F153" s="1074"/>
      <c r="G153" s="1074"/>
      <c r="H153" s="176" t="s">
        <v>227</v>
      </c>
      <c r="I153" s="174" t="s">
        <v>227</v>
      </c>
    </row>
    <row r="154" spans="1:9">
      <c r="A154" s="136"/>
      <c r="B154" s="1168" t="s">
        <v>471</v>
      </c>
      <c r="C154" s="1068"/>
      <c r="D154" s="1068"/>
      <c r="E154" s="1068"/>
      <c r="F154" s="1068"/>
      <c r="G154" s="1068"/>
      <c r="H154" s="175">
        <v>0.03</v>
      </c>
      <c r="I154" s="151">
        <f>ROUND(($I$146/(1-$H$157))*H154,2)</f>
        <v>108.4</v>
      </c>
    </row>
    <row r="155" spans="1:9">
      <c r="A155" s="1076" t="s">
        <v>134</v>
      </c>
      <c r="B155" s="1076"/>
      <c r="C155" s="1076"/>
      <c r="D155" s="1076"/>
      <c r="E155" s="1076"/>
      <c r="F155" s="1076"/>
      <c r="G155" s="1076"/>
      <c r="H155" s="1076"/>
      <c r="I155" s="142">
        <f>SUM(I143+I145+I149+I150+I154)</f>
        <v>730.71</v>
      </c>
    </row>
    <row r="156" spans="1:9">
      <c r="A156" s="1049"/>
      <c r="B156" s="1049"/>
      <c r="C156" s="1049"/>
      <c r="D156" s="1049"/>
      <c r="E156" s="1049"/>
      <c r="F156" s="1049"/>
      <c r="G156" s="1049"/>
      <c r="H156" s="1049"/>
      <c r="I156" s="1049"/>
    </row>
    <row r="157" spans="1:9">
      <c r="A157" s="1070" t="s">
        <v>302</v>
      </c>
      <c r="B157" s="1070"/>
      <c r="C157" s="1070"/>
      <c r="D157" s="1070"/>
      <c r="E157" s="1070"/>
      <c r="F157" s="1070"/>
      <c r="G157" s="1070"/>
      <c r="H157" s="177">
        <f>SUM(H149:H154)</f>
        <v>0.1225</v>
      </c>
      <c r="I157" s="178">
        <f>SUM(I149:I154)</f>
        <v>442.63</v>
      </c>
    </row>
    <row r="158" spans="1:9">
      <c r="A158" s="1071" t="s">
        <v>292</v>
      </c>
      <c r="B158" s="1071"/>
      <c r="C158" s="703" t="s">
        <v>294</v>
      </c>
      <c r="D158" s="703"/>
      <c r="E158" s="703"/>
      <c r="F158" s="703"/>
      <c r="G158" s="703"/>
      <c r="H158" s="703"/>
      <c r="I158" s="703"/>
    </row>
    <row r="159" spans="1:9">
      <c r="A159" s="1071"/>
      <c r="B159" s="1071"/>
      <c r="C159" s="723" t="s">
        <v>293</v>
      </c>
      <c r="D159" s="723"/>
      <c r="E159" s="723"/>
      <c r="F159" s="723"/>
      <c r="G159" s="723"/>
      <c r="H159" s="723"/>
      <c r="I159" s="723"/>
    </row>
    <row r="160" spans="1:9">
      <c r="A160" s="1071"/>
      <c r="B160" s="1071"/>
      <c r="C160" s="1072" t="s">
        <v>295</v>
      </c>
      <c r="D160" s="1072"/>
      <c r="E160" s="1072"/>
      <c r="F160" s="1072"/>
      <c r="G160" s="1072"/>
      <c r="H160" s="1072"/>
      <c r="I160" s="1072"/>
    </row>
    <row r="161" spans="1:9">
      <c r="A161" s="1067"/>
      <c r="B161" s="1067"/>
      <c r="C161" s="1067"/>
      <c r="D161" s="1067"/>
      <c r="E161" s="1067"/>
      <c r="F161" s="1067"/>
      <c r="G161" s="1067"/>
      <c r="H161" s="1067"/>
      <c r="I161" s="1067"/>
    </row>
    <row r="162" spans="1:9">
      <c r="A162" s="1068" t="s">
        <v>24</v>
      </c>
      <c r="B162" s="1068"/>
      <c r="C162" s="1068"/>
      <c r="D162" s="1068"/>
      <c r="E162" s="1068"/>
      <c r="F162" s="1068"/>
      <c r="G162" s="1068"/>
      <c r="H162" s="1068"/>
      <c r="I162" s="1068"/>
    </row>
    <row r="163" spans="1:9">
      <c r="A163" s="1049"/>
      <c r="B163" s="1049"/>
      <c r="C163" s="1049"/>
      <c r="D163" s="1049"/>
      <c r="E163" s="1049"/>
      <c r="F163" s="1049"/>
      <c r="G163" s="1049"/>
      <c r="H163" s="1049"/>
      <c r="I163" s="1049"/>
    </row>
    <row r="164" spans="1:9" ht="15.75">
      <c r="A164" s="1069" t="s">
        <v>25</v>
      </c>
      <c r="B164" s="1069"/>
      <c r="C164" s="1069"/>
      <c r="D164" s="1069"/>
      <c r="E164" s="1069"/>
      <c r="F164" s="1069"/>
      <c r="G164" s="1069"/>
      <c r="H164" s="1069"/>
      <c r="I164" s="1069"/>
    </row>
    <row r="165" spans="1:9" ht="15">
      <c r="A165" s="1066" t="s">
        <v>114</v>
      </c>
      <c r="B165" s="1066"/>
      <c r="C165" s="1066"/>
      <c r="D165" s="1066"/>
      <c r="E165" s="1066"/>
      <c r="F165" s="1066"/>
      <c r="G165" s="1066"/>
      <c r="H165" s="1066"/>
      <c r="I165" s="128" t="s">
        <v>127</v>
      </c>
    </row>
    <row r="166" spans="1:9">
      <c r="A166" s="179" t="s">
        <v>259</v>
      </c>
      <c r="B166" s="1064" t="s">
        <v>384</v>
      </c>
      <c r="C166" s="1064"/>
      <c r="D166" s="1064"/>
      <c r="E166" s="1064"/>
      <c r="F166" s="1064"/>
      <c r="G166" s="1064"/>
      <c r="H166" s="1064"/>
      <c r="I166" s="129">
        <f>I58</f>
        <v>1296.78</v>
      </c>
    </row>
    <row r="167" spans="1:9">
      <c r="A167" s="179" t="s">
        <v>261</v>
      </c>
      <c r="B167" s="1064" t="s">
        <v>101</v>
      </c>
      <c r="C167" s="1064"/>
      <c r="D167" s="1064"/>
      <c r="E167" s="1064"/>
      <c r="F167" s="1064"/>
      <c r="G167" s="1064"/>
      <c r="H167" s="1064"/>
      <c r="I167" s="129">
        <f>I71</f>
        <v>323.75</v>
      </c>
    </row>
    <row r="168" spans="1:9">
      <c r="A168" s="179" t="s">
        <v>263</v>
      </c>
      <c r="B168" s="1064" t="s">
        <v>102</v>
      </c>
      <c r="C168" s="1064"/>
      <c r="D168" s="1064"/>
      <c r="E168" s="1064"/>
      <c r="F168" s="1064"/>
      <c r="G168" s="1064"/>
      <c r="H168" s="1064"/>
      <c r="I168" s="129">
        <f>I81</f>
        <v>278</v>
      </c>
    </row>
    <row r="169" spans="1:9">
      <c r="A169" s="179" t="s">
        <v>264</v>
      </c>
      <c r="B169" s="1064" t="s">
        <v>372</v>
      </c>
      <c r="C169" s="1064"/>
      <c r="D169" s="1064"/>
      <c r="E169" s="1064"/>
      <c r="F169" s="1064"/>
      <c r="G169" s="1064"/>
      <c r="H169" s="1064"/>
      <c r="I169" s="129">
        <f>I139</f>
        <v>984.02</v>
      </c>
    </row>
    <row r="170" spans="1:9">
      <c r="A170" s="1065" t="s">
        <v>115</v>
      </c>
      <c r="B170" s="1065"/>
      <c r="C170" s="1065"/>
      <c r="D170" s="1065"/>
      <c r="E170" s="1065"/>
      <c r="F170" s="1065"/>
      <c r="G170" s="1065"/>
      <c r="H170" s="1065"/>
      <c r="I170" s="144">
        <f>SUM(I166:I169)</f>
        <v>2882.55</v>
      </c>
    </row>
    <row r="171" spans="1:9">
      <c r="A171" s="180" t="s">
        <v>272</v>
      </c>
      <c r="B171" s="1064" t="s">
        <v>103</v>
      </c>
      <c r="C171" s="1064"/>
      <c r="D171" s="1064"/>
      <c r="E171" s="1064"/>
      <c r="F171" s="1064"/>
      <c r="G171" s="1064"/>
      <c r="H171" s="1064"/>
      <c r="I171" s="129">
        <f>I155</f>
        <v>730.71</v>
      </c>
    </row>
    <row r="172" spans="1:9">
      <c r="A172" s="1065" t="s">
        <v>26</v>
      </c>
      <c r="B172" s="1065"/>
      <c r="C172" s="1065"/>
      <c r="D172" s="1065"/>
      <c r="E172" s="1065"/>
      <c r="F172" s="1065"/>
      <c r="G172" s="1065"/>
      <c r="H172" s="1065"/>
      <c r="I172" s="144">
        <f>SUM(I170:I171)</f>
        <v>3613.26</v>
      </c>
    </row>
    <row r="173" spans="1:9" ht="30.75" customHeight="1">
      <c r="A173" s="1062" t="s">
        <v>307</v>
      </c>
      <c r="B173" s="1062"/>
      <c r="C173" s="1062"/>
      <c r="D173" s="1062"/>
      <c r="E173" s="1062"/>
      <c r="F173" s="1062"/>
      <c r="G173" s="1062"/>
      <c r="H173" s="1062"/>
      <c r="I173" s="1062"/>
    </row>
    <row r="174" spans="1:9" ht="15.75">
      <c r="A174" s="1059" t="s">
        <v>28</v>
      </c>
      <c r="B174" s="1059"/>
      <c r="C174" s="1059"/>
      <c r="D174" s="1059"/>
      <c r="E174" s="1059"/>
      <c r="F174" s="1059"/>
      <c r="G174" s="1059"/>
      <c r="H174" s="1059"/>
      <c r="I174" s="1059"/>
    </row>
    <row r="175" spans="1:9" ht="60">
      <c r="A175" s="1063" t="s">
        <v>117</v>
      </c>
      <c r="B175" s="1063"/>
      <c r="C175" s="1060" t="s">
        <v>116</v>
      </c>
      <c r="D175" s="1060"/>
      <c r="E175" s="182" t="s">
        <v>118</v>
      </c>
      <c r="F175" s="1060" t="s">
        <v>119</v>
      </c>
      <c r="G175" s="1060"/>
      <c r="H175" s="181" t="s">
        <v>120</v>
      </c>
      <c r="I175" s="181" t="s">
        <v>121</v>
      </c>
    </row>
    <row r="176" spans="1:9">
      <c r="A176" s="1052" t="s">
        <v>122</v>
      </c>
      <c r="B176" s="1052"/>
      <c r="C176" s="1050" t="s">
        <v>305</v>
      </c>
      <c r="D176" s="1050"/>
      <c r="E176" s="184"/>
      <c r="F176" s="1050" t="s">
        <v>305</v>
      </c>
      <c r="G176" s="1050"/>
      <c r="H176" s="185"/>
      <c r="I176" s="183" t="s">
        <v>305</v>
      </c>
    </row>
    <row r="177" spans="1:9">
      <c r="A177" s="1052" t="s">
        <v>304</v>
      </c>
      <c r="B177" s="1052"/>
      <c r="C177" s="1050" t="s">
        <v>305</v>
      </c>
      <c r="D177" s="1050"/>
      <c r="E177" s="184"/>
      <c r="F177" s="1050" t="s">
        <v>305</v>
      </c>
      <c r="G177" s="1050"/>
      <c r="H177" s="185"/>
      <c r="I177" s="183" t="s">
        <v>305</v>
      </c>
    </row>
    <row r="178" spans="1:9">
      <c r="A178" s="1052" t="s">
        <v>303</v>
      </c>
      <c r="B178" s="1052"/>
      <c r="C178" s="1050" t="s">
        <v>305</v>
      </c>
      <c r="D178" s="1050"/>
      <c r="E178" s="183"/>
      <c r="F178" s="1050" t="s">
        <v>305</v>
      </c>
      <c r="G178" s="1050"/>
      <c r="H178" s="183"/>
      <c r="I178" s="183" t="s">
        <v>305</v>
      </c>
    </row>
    <row r="179" spans="1:9">
      <c r="A179" s="1061" t="s">
        <v>29</v>
      </c>
      <c r="B179" s="1061"/>
      <c r="C179" s="1061"/>
      <c r="D179" s="1061"/>
      <c r="E179" s="1061"/>
      <c r="F179" s="1061"/>
      <c r="G179" s="1061"/>
      <c r="H179" s="1061"/>
      <c r="I179" s="183"/>
    </row>
    <row r="180" spans="1:9" ht="15.75">
      <c r="A180" s="1059" t="s">
        <v>30</v>
      </c>
      <c r="B180" s="1059"/>
      <c r="C180" s="1059"/>
      <c r="D180" s="1059"/>
      <c r="E180" s="1059"/>
      <c r="F180" s="1059"/>
      <c r="G180" s="1059"/>
      <c r="H180" s="1059"/>
      <c r="I180" s="1059"/>
    </row>
    <row r="181" spans="1:9" ht="15.75">
      <c r="A181" s="1059" t="s">
        <v>31</v>
      </c>
      <c r="B181" s="1059"/>
      <c r="C181" s="1059"/>
      <c r="D181" s="1059"/>
      <c r="E181" s="1059"/>
      <c r="F181" s="1059"/>
      <c r="G181" s="1059"/>
      <c r="H181" s="1059"/>
      <c r="I181" s="1059"/>
    </row>
    <row r="182" spans="1:9">
      <c r="A182" s="1060" t="s">
        <v>123</v>
      </c>
      <c r="B182" s="1060"/>
      <c r="C182" s="1060"/>
      <c r="D182" s="1060"/>
      <c r="E182" s="1060"/>
      <c r="F182" s="1060"/>
      <c r="G182" s="1060"/>
      <c r="H182" s="1060"/>
      <c r="I182" s="181" t="s">
        <v>127</v>
      </c>
    </row>
    <row r="183" spans="1:9">
      <c r="A183" s="186" t="s">
        <v>259</v>
      </c>
      <c r="B183" s="1050" t="s">
        <v>32</v>
      </c>
      <c r="C183" s="1050"/>
      <c r="D183" s="1050"/>
      <c r="E183" s="1050"/>
      <c r="F183" s="1050"/>
      <c r="G183" s="1050"/>
      <c r="H183" s="1050"/>
      <c r="I183" s="183"/>
    </row>
    <row r="184" spans="1:9">
      <c r="A184" s="186" t="s">
        <v>261</v>
      </c>
      <c r="B184" s="1050" t="s">
        <v>124</v>
      </c>
      <c r="C184" s="1050"/>
      <c r="D184" s="1050"/>
      <c r="E184" s="1050"/>
      <c r="F184" s="1050"/>
      <c r="G184" s="1050"/>
      <c r="H184" s="1050"/>
      <c r="I184" s="183"/>
    </row>
    <row r="185" spans="1:9">
      <c r="A185" s="186" t="s">
        <v>263</v>
      </c>
      <c r="B185" s="1050" t="s">
        <v>33</v>
      </c>
      <c r="C185" s="1050"/>
      <c r="D185" s="1050"/>
      <c r="E185" s="1050"/>
      <c r="F185" s="1050"/>
      <c r="G185" s="1050"/>
      <c r="H185" s="1050"/>
      <c r="I185" s="183"/>
    </row>
    <row r="186" spans="1:9">
      <c r="A186" s="1051"/>
      <c r="B186" s="1051"/>
      <c r="C186" s="1051"/>
      <c r="D186" s="1051"/>
      <c r="E186" s="1051"/>
      <c r="F186" s="1051"/>
      <c r="G186" s="1051"/>
      <c r="H186" s="1051"/>
      <c r="I186" s="1051"/>
    </row>
    <row r="187" spans="1:9">
      <c r="A187" s="1052" t="s">
        <v>34</v>
      </c>
      <c r="B187" s="1052"/>
      <c r="C187" s="1052"/>
      <c r="D187" s="1052"/>
      <c r="E187" s="1052"/>
      <c r="F187" s="1052"/>
      <c r="G187" s="1052"/>
      <c r="H187" s="1052"/>
      <c r="I187" s="1052"/>
    </row>
    <row r="188" spans="1:9">
      <c r="A188" s="1045"/>
      <c r="B188" s="1045"/>
      <c r="C188" s="1045"/>
      <c r="D188" s="1045"/>
      <c r="E188" s="1045"/>
      <c r="F188" s="1045"/>
      <c r="G188" s="1045"/>
      <c r="H188" s="1045"/>
      <c r="I188" s="1045"/>
    </row>
    <row r="189" spans="1:9">
      <c r="A189" s="26"/>
      <c r="B189" s="26"/>
      <c r="C189" s="26"/>
      <c r="D189" s="26"/>
      <c r="E189" s="26"/>
      <c r="F189" s="26"/>
      <c r="G189" s="26"/>
      <c r="H189" s="187"/>
      <c r="I189" s="188"/>
    </row>
    <row r="190" spans="1:9" ht="15">
      <c r="A190" s="1046" t="s">
        <v>306</v>
      </c>
      <c r="B190" s="1046"/>
      <c r="C190" s="1046"/>
      <c r="D190" s="1046"/>
      <c r="E190" s="1046"/>
      <c r="F190" s="1046"/>
      <c r="G190" s="1046"/>
      <c r="H190" s="1046"/>
      <c r="I190" s="1046"/>
    </row>
    <row r="191" spans="1:9" ht="15.75">
      <c r="A191" s="1047" t="s">
        <v>162</v>
      </c>
      <c r="B191" s="1047"/>
      <c r="C191" s="1047"/>
      <c r="D191" s="1047"/>
      <c r="E191" s="1047"/>
      <c r="F191" s="1047"/>
      <c r="G191" s="1047"/>
      <c r="H191" s="1047"/>
      <c r="I191" s="1047"/>
    </row>
    <row r="192" spans="1:9">
      <c r="A192" s="19"/>
      <c r="B192" s="19"/>
      <c r="C192" s="19"/>
      <c r="D192" s="19"/>
      <c r="E192" s="19"/>
      <c r="F192" s="19"/>
      <c r="G192" s="19"/>
      <c r="H192" s="19"/>
      <c r="I192" s="189"/>
    </row>
    <row r="193" spans="1:9">
      <c r="A193" s="1169" t="s">
        <v>48</v>
      </c>
      <c r="B193" s="1169"/>
      <c r="C193" s="1169"/>
      <c r="D193" s="1169"/>
      <c r="E193" s="1169"/>
      <c r="F193" s="1169"/>
      <c r="G193" s="1169"/>
      <c r="H193" s="1169"/>
      <c r="I193" s="1169"/>
    </row>
    <row r="194" spans="1:9" ht="25.5" customHeight="1">
      <c r="A194" s="1170" t="s">
        <v>49</v>
      </c>
      <c r="B194" s="1170"/>
      <c r="C194" s="1170"/>
      <c r="D194" s="1170"/>
      <c r="E194" s="1170"/>
      <c r="F194" s="1170"/>
      <c r="G194" s="1170"/>
      <c r="H194" s="1170"/>
      <c r="I194" s="1170"/>
    </row>
    <row r="195" spans="1:9">
      <c r="A195" s="1171" t="s">
        <v>225</v>
      </c>
      <c r="B195" s="1171"/>
      <c r="C195" s="904" t="s">
        <v>148</v>
      </c>
      <c r="D195" s="904"/>
      <c r="E195" s="904" t="s">
        <v>149</v>
      </c>
      <c r="F195" s="904"/>
      <c r="G195" s="904" t="s">
        <v>150</v>
      </c>
      <c r="H195" s="904"/>
      <c r="I195" s="904"/>
    </row>
    <row r="196" spans="1:9">
      <c r="A196" s="1172" t="s">
        <v>229</v>
      </c>
      <c r="B196" s="1172"/>
      <c r="C196" s="1173" t="s">
        <v>185</v>
      </c>
      <c r="D196" s="1173"/>
      <c r="E196" s="1174">
        <v>0</v>
      </c>
      <c r="F196" s="1174"/>
      <c r="G196" s="1175">
        <v>0</v>
      </c>
      <c r="H196" s="1175"/>
      <c r="I196" s="1175"/>
    </row>
    <row r="197" spans="1:9">
      <c r="A197" s="1172" t="s">
        <v>230</v>
      </c>
      <c r="B197" s="1172"/>
      <c r="C197" s="1175" t="s">
        <v>186</v>
      </c>
      <c r="D197" s="1175"/>
      <c r="E197" s="1176">
        <f>I172</f>
        <v>3613.26</v>
      </c>
      <c r="F197" s="1176"/>
      <c r="G197" s="1177">
        <f>ROUND((1/600)*E197,2)</f>
        <v>6.02</v>
      </c>
      <c r="H197" s="1177"/>
      <c r="I197" s="1177"/>
    </row>
    <row r="198" spans="1:9">
      <c r="A198" s="1178" t="s">
        <v>134</v>
      </c>
      <c r="B198" s="1178"/>
      <c r="C198" s="1178"/>
      <c r="D198" s="1178"/>
      <c r="E198" s="1178"/>
      <c r="F198" s="1178"/>
      <c r="G198" s="1177">
        <f>SUM(G196+G197)</f>
        <v>6.02</v>
      </c>
      <c r="H198" s="1177"/>
      <c r="I198" s="1177"/>
    </row>
    <row r="199" spans="1:9">
      <c r="A199" s="1179"/>
      <c r="B199" s="1179"/>
      <c r="C199" s="1179"/>
      <c r="D199" s="1179"/>
      <c r="E199" s="1179"/>
      <c r="F199" s="1179"/>
      <c r="G199" s="1179"/>
      <c r="H199" s="1179"/>
      <c r="I199" s="1179"/>
    </row>
    <row r="200" spans="1:9">
      <c r="A200" s="1180" t="s">
        <v>231</v>
      </c>
      <c r="B200" s="1180"/>
      <c r="C200" s="1181" t="s">
        <v>185</v>
      </c>
      <c r="D200" s="1181"/>
      <c r="E200" s="1182">
        <v>0</v>
      </c>
      <c r="F200" s="1182"/>
      <c r="G200" s="1175">
        <v>0</v>
      </c>
      <c r="H200" s="1175"/>
      <c r="I200" s="1175"/>
    </row>
    <row r="201" spans="1:9">
      <c r="A201" s="1172" t="s">
        <v>232</v>
      </c>
      <c r="B201" s="1172"/>
      <c r="C201" s="1175" t="s">
        <v>186</v>
      </c>
      <c r="D201" s="1175"/>
      <c r="E201" s="1174">
        <f>I172</f>
        <v>3613.26</v>
      </c>
      <c r="F201" s="1174"/>
      <c r="G201" s="1183">
        <f>ROUND((1/600)*E201,2)</f>
        <v>6.02</v>
      </c>
      <c r="H201" s="1183"/>
      <c r="I201" s="1183"/>
    </row>
    <row r="202" spans="1:9">
      <c r="A202" s="1184" t="s">
        <v>134</v>
      </c>
      <c r="B202" s="1184"/>
      <c r="C202" s="1184"/>
      <c r="D202" s="1184"/>
      <c r="E202" s="1184"/>
      <c r="F202" s="1184"/>
      <c r="G202" s="1177">
        <f>SUM(G200+G201)</f>
        <v>6.02</v>
      </c>
      <c r="H202" s="1177"/>
      <c r="I202" s="1177"/>
    </row>
    <row r="203" spans="1:9">
      <c r="A203" s="1179"/>
      <c r="B203" s="1179"/>
      <c r="C203" s="1179"/>
      <c r="D203" s="1179"/>
      <c r="E203" s="1179"/>
      <c r="F203" s="1179"/>
      <c r="G203" s="1179"/>
      <c r="H203" s="1179"/>
      <c r="I203" s="1179"/>
    </row>
    <row r="204" spans="1:9">
      <c r="A204" s="1180" t="s">
        <v>245</v>
      </c>
      <c r="B204" s="1180"/>
      <c r="C204" s="1181" t="s">
        <v>311</v>
      </c>
      <c r="D204" s="1181"/>
      <c r="E204" s="1185">
        <v>0</v>
      </c>
      <c r="F204" s="1185"/>
      <c r="G204" s="1175">
        <v>0</v>
      </c>
      <c r="H204" s="1175"/>
      <c r="I204" s="1175"/>
    </row>
    <row r="205" spans="1:9">
      <c r="A205" s="1172" t="s">
        <v>233</v>
      </c>
      <c r="B205" s="1172"/>
      <c r="C205" s="1175" t="s">
        <v>187</v>
      </c>
      <c r="D205" s="1175"/>
      <c r="E205" s="1186">
        <v>0</v>
      </c>
      <c r="F205" s="1186"/>
      <c r="G205" s="1175">
        <v>0</v>
      </c>
      <c r="H205" s="1175"/>
      <c r="I205" s="1175"/>
    </row>
    <row r="206" spans="1:9">
      <c r="A206" s="1184" t="s">
        <v>134</v>
      </c>
      <c r="B206" s="1184"/>
      <c r="C206" s="1184"/>
      <c r="D206" s="1184"/>
      <c r="E206" s="1184"/>
      <c r="F206" s="1184"/>
      <c r="G206" s="1177">
        <f>SUM(G204+G205)</f>
        <v>0</v>
      </c>
      <c r="H206" s="1177"/>
      <c r="I206" s="1177"/>
    </row>
    <row r="207" spans="1:9">
      <c r="A207" s="1179"/>
      <c r="B207" s="1179"/>
      <c r="C207" s="1179"/>
      <c r="D207" s="1179"/>
      <c r="E207" s="1179"/>
      <c r="F207" s="1179"/>
      <c r="G207" s="1179"/>
      <c r="H207" s="1179"/>
      <c r="I207" s="1179"/>
    </row>
    <row r="208" spans="1:9">
      <c r="A208" s="1187" t="s">
        <v>246</v>
      </c>
      <c r="B208" s="1187"/>
      <c r="C208" s="1181" t="s">
        <v>188</v>
      </c>
      <c r="D208" s="1181"/>
      <c r="E208" s="1182">
        <v>0</v>
      </c>
      <c r="F208" s="1182"/>
      <c r="G208" s="1175">
        <v>0</v>
      </c>
      <c r="H208" s="1175"/>
      <c r="I208" s="1175"/>
    </row>
    <row r="209" spans="1:9">
      <c r="A209" s="1188" t="s">
        <v>319</v>
      </c>
      <c r="B209" s="1188"/>
      <c r="C209" s="1175" t="s">
        <v>189</v>
      </c>
      <c r="D209" s="1175"/>
      <c r="E209" s="1176">
        <f>I172</f>
        <v>3613.26</v>
      </c>
      <c r="F209" s="1176"/>
      <c r="G209" s="1175">
        <f>ROUND((1/1350)*E209,2)</f>
        <v>2.68</v>
      </c>
      <c r="H209" s="1175"/>
      <c r="I209" s="1175"/>
    </row>
    <row r="210" spans="1:9">
      <c r="A210" s="1184" t="s">
        <v>134</v>
      </c>
      <c r="B210" s="1184"/>
      <c r="C210" s="1184"/>
      <c r="D210" s="1184"/>
      <c r="E210" s="1184"/>
      <c r="F210" s="1184"/>
      <c r="G210" s="1189">
        <f>SUM(G208+G209)</f>
        <v>2.68</v>
      </c>
      <c r="H210" s="1189"/>
      <c r="I210" s="1189"/>
    </row>
    <row r="211" spans="1:9">
      <c r="A211" s="1190"/>
      <c r="B211" s="1190"/>
      <c r="C211" s="1190"/>
      <c r="D211" s="1190"/>
      <c r="E211" s="1190"/>
      <c r="F211" s="1190"/>
      <c r="G211" s="1190"/>
      <c r="H211" s="1190"/>
      <c r="I211" s="1190"/>
    </row>
    <row r="212" spans="1:9">
      <c r="A212" s="1180" t="s">
        <v>247</v>
      </c>
      <c r="B212" s="1180"/>
      <c r="C212" s="1181" t="s">
        <v>190</v>
      </c>
      <c r="D212" s="1181"/>
      <c r="E212" s="1185">
        <v>0</v>
      </c>
      <c r="F212" s="1185"/>
      <c r="G212" s="1175">
        <v>0</v>
      </c>
      <c r="H212" s="1175"/>
      <c r="I212" s="1175"/>
    </row>
    <row r="213" spans="1:9">
      <c r="A213" s="1172" t="s">
        <v>234</v>
      </c>
      <c r="B213" s="1172"/>
      <c r="C213" s="1175" t="s">
        <v>191</v>
      </c>
      <c r="D213" s="1175"/>
      <c r="E213" s="1186">
        <v>0</v>
      </c>
      <c r="F213" s="1186"/>
      <c r="G213" s="1175">
        <v>0</v>
      </c>
      <c r="H213" s="1175"/>
      <c r="I213" s="1175"/>
    </row>
    <row r="214" spans="1:9">
      <c r="A214" s="1184" t="s">
        <v>134</v>
      </c>
      <c r="B214" s="1184"/>
      <c r="C214" s="1184"/>
      <c r="D214" s="1184"/>
      <c r="E214" s="1184"/>
      <c r="F214" s="1184"/>
      <c r="G214" s="1177">
        <f>SUM(G212+G213)</f>
        <v>0</v>
      </c>
      <c r="H214" s="1177"/>
      <c r="I214" s="1177"/>
    </row>
    <row r="215" spans="1:9">
      <c r="A215" s="1190"/>
      <c r="B215" s="1190"/>
      <c r="C215" s="1190"/>
      <c r="D215" s="1190"/>
      <c r="E215" s="1190"/>
      <c r="F215" s="1190"/>
      <c r="G215" s="1190"/>
      <c r="H215" s="1190"/>
      <c r="I215" s="1190"/>
    </row>
    <row r="216" spans="1:9" ht="23.25" customHeight="1">
      <c r="A216" s="1172" t="s">
        <v>248</v>
      </c>
      <c r="B216" s="1172"/>
      <c r="C216" s="1181" t="s">
        <v>192</v>
      </c>
      <c r="D216" s="1181"/>
      <c r="E216" s="1182">
        <v>0</v>
      </c>
      <c r="F216" s="1182"/>
      <c r="G216" s="1175">
        <v>0</v>
      </c>
      <c r="H216" s="1175"/>
      <c r="I216" s="1175"/>
    </row>
    <row r="217" spans="1:9" ht="26.25" customHeight="1">
      <c r="A217" s="1172" t="s">
        <v>235</v>
      </c>
      <c r="B217" s="1172"/>
      <c r="C217" s="1175" t="s">
        <v>193</v>
      </c>
      <c r="D217" s="1175"/>
      <c r="E217" s="1176">
        <f>I172</f>
        <v>3613.26</v>
      </c>
      <c r="F217" s="1176"/>
      <c r="G217" s="1175">
        <f>ROUND((1/800)*E217,2)</f>
        <v>4.5199999999999996</v>
      </c>
      <c r="H217" s="1175"/>
      <c r="I217" s="1175"/>
    </row>
    <row r="218" spans="1:9">
      <c r="A218" s="1191" t="s">
        <v>134</v>
      </c>
      <c r="B218" s="1191"/>
      <c r="C218" s="1191"/>
      <c r="D218" s="1191"/>
      <c r="E218" s="1191"/>
      <c r="F218" s="1191"/>
      <c r="G218" s="1192">
        <f>SUM(G216+G217)</f>
        <v>4.5199999999999996</v>
      </c>
      <c r="H218" s="1192"/>
      <c r="I218" s="1192"/>
    </row>
    <row r="219" spans="1:9">
      <c r="A219" s="900"/>
      <c r="B219" s="900"/>
      <c r="C219" s="900"/>
      <c r="D219" s="900"/>
      <c r="E219" s="900"/>
      <c r="F219" s="900"/>
      <c r="G219" s="900"/>
      <c r="H219" s="900"/>
      <c r="I219" s="900"/>
    </row>
    <row r="220" spans="1:9" ht="13.5">
      <c r="A220" s="1193" t="s">
        <v>50</v>
      </c>
      <c r="B220" s="1193"/>
      <c r="C220" s="1193"/>
      <c r="D220" s="1193"/>
      <c r="E220" s="1193"/>
      <c r="F220" s="1193"/>
      <c r="G220" s="1193"/>
      <c r="H220" s="1193"/>
      <c r="I220" s="1193"/>
    </row>
    <row r="221" spans="1:9">
      <c r="A221" s="1171" t="s">
        <v>257</v>
      </c>
      <c r="B221" s="1171"/>
      <c r="C221" s="904" t="s">
        <v>151</v>
      </c>
      <c r="D221" s="904"/>
      <c r="E221" s="904" t="s">
        <v>152</v>
      </c>
      <c r="F221" s="904"/>
      <c r="G221" s="904" t="s">
        <v>150</v>
      </c>
      <c r="H221" s="904"/>
      <c r="I221" s="904"/>
    </row>
    <row r="222" spans="1:9" ht="36" customHeight="1">
      <c r="A222" s="1130" t="s">
        <v>249</v>
      </c>
      <c r="B222" s="1130"/>
      <c r="C222" s="1194" t="s">
        <v>194</v>
      </c>
      <c r="D222" s="1194"/>
      <c r="E222" s="1174">
        <v>0</v>
      </c>
      <c r="F222" s="1174"/>
      <c r="G222" s="1174">
        <f>ROUND((1/1200)*E222,2)</f>
        <v>0</v>
      </c>
      <c r="H222" s="1174"/>
      <c r="I222" s="1174"/>
    </row>
    <row r="223" spans="1:9" ht="37.5" customHeight="1">
      <c r="A223" s="1130" t="s">
        <v>236</v>
      </c>
      <c r="B223" s="1130"/>
      <c r="C223" s="1194" t="s">
        <v>191</v>
      </c>
      <c r="D223" s="1194"/>
      <c r="E223" s="1174">
        <f>I172</f>
        <v>3613.26</v>
      </c>
      <c r="F223" s="1174"/>
      <c r="G223" s="1195">
        <f>ROUND((1/1200)*E223,2)</f>
        <v>3.01</v>
      </c>
      <c r="H223" s="1195"/>
      <c r="I223" s="1195"/>
    </row>
    <row r="224" spans="1:9">
      <c r="A224" s="1178" t="s">
        <v>134</v>
      </c>
      <c r="B224" s="1178"/>
      <c r="C224" s="1178"/>
      <c r="D224" s="1178"/>
      <c r="E224" s="1178"/>
      <c r="F224" s="1178"/>
      <c r="G224" s="1177">
        <f>SUM(G222+G223)</f>
        <v>3.01</v>
      </c>
      <c r="H224" s="1177"/>
      <c r="I224" s="1177"/>
    </row>
    <row r="225" spans="1:9">
      <c r="A225" s="1196"/>
      <c r="B225" s="1196"/>
      <c r="C225" s="1196"/>
      <c r="D225" s="1196"/>
      <c r="E225" s="1196"/>
      <c r="F225" s="1196"/>
      <c r="G225" s="1196"/>
      <c r="H225" s="1196"/>
      <c r="I225" s="1196"/>
    </row>
    <row r="226" spans="1:9" ht="23.25" customHeight="1">
      <c r="A226" s="1197" t="s">
        <v>250</v>
      </c>
      <c r="B226" s="1197"/>
      <c r="C226" s="1198" t="s">
        <v>195</v>
      </c>
      <c r="D226" s="1198"/>
      <c r="E226" s="1182">
        <v>0</v>
      </c>
      <c r="F226" s="1182"/>
      <c r="G226" s="1174">
        <f>ROUND((1/1200)*E226,2)</f>
        <v>0</v>
      </c>
      <c r="H226" s="1174"/>
      <c r="I226" s="1174"/>
    </row>
    <row r="227" spans="1:9" ht="24" customHeight="1">
      <c r="A227" s="1130" t="s">
        <v>237</v>
      </c>
      <c r="B227" s="1130"/>
      <c r="C227" s="1194" t="s">
        <v>196</v>
      </c>
      <c r="D227" s="1194"/>
      <c r="E227" s="1174">
        <f>I172</f>
        <v>3613.26</v>
      </c>
      <c r="F227" s="1174"/>
      <c r="G227" s="1174">
        <f>ROUND((1/6000)*E227,2)</f>
        <v>0.6</v>
      </c>
      <c r="H227" s="1174"/>
      <c r="I227" s="1174"/>
    </row>
    <row r="228" spans="1:9">
      <c r="A228" s="1178" t="s">
        <v>134</v>
      </c>
      <c r="B228" s="1178"/>
      <c r="C228" s="1178"/>
      <c r="D228" s="1178"/>
      <c r="E228" s="1178"/>
      <c r="F228" s="1178"/>
      <c r="G228" s="1177">
        <f>SUM(G226+G227)</f>
        <v>0.6</v>
      </c>
      <c r="H228" s="1177"/>
      <c r="I228" s="1177"/>
    </row>
    <row r="229" spans="1:9">
      <c r="A229" s="1097"/>
      <c r="B229" s="1097"/>
      <c r="C229" s="1097"/>
      <c r="D229" s="1097"/>
      <c r="E229" s="1097"/>
      <c r="F229" s="1097"/>
      <c r="G229" s="1097"/>
      <c r="H229" s="1097"/>
      <c r="I229" s="1097"/>
    </row>
    <row r="230" spans="1:9" ht="24" customHeight="1">
      <c r="A230" s="1197" t="s">
        <v>251</v>
      </c>
      <c r="B230" s="1197"/>
      <c r="C230" s="1198" t="s">
        <v>194</v>
      </c>
      <c r="D230" s="1198"/>
      <c r="E230" s="1182">
        <v>0</v>
      </c>
      <c r="F230" s="1182"/>
      <c r="G230" s="1199">
        <f>ROUND((1/1200)*E230,2)</f>
        <v>0</v>
      </c>
      <c r="H230" s="1199"/>
      <c r="I230" s="1199"/>
    </row>
    <row r="231" spans="1:9" ht="26.25" customHeight="1">
      <c r="A231" s="1130" t="s">
        <v>238</v>
      </c>
      <c r="B231" s="1130"/>
      <c r="C231" s="1194" t="s">
        <v>191</v>
      </c>
      <c r="D231" s="1194"/>
      <c r="E231" s="1174">
        <f>I172</f>
        <v>3613.26</v>
      </c>
      <c r="F231" s="1174"/>
      <c r="G231" s="1174">
        <f>ROUND((1/1200)*E231,2)</f>
        <v>3.01</v>
      </c>
      <c r="H231" s="1174"/>
      <c r="I231" s="1174"/>
    </row>
    <row r="232" spans="1:9">
      <c r="A232" s="1178" t="s">
        <v>134</v>
      </c>
      <c r="B232" s="1178"/>
      <c r="C232" s="1178"/>
      <c r="D232" s="1178"/>
      <c r="E232" s="1178"/>
      <c r="F232" s="1178"/>
      <c r="G232" s="1177">
        <f>SUM(G230+G231)</f>
        <v>3.01</v>
      </c>
      <c r="H232" s="1177"/>
      <c r="I232" s="1177"/>
    </row>
    <row r="233" spans="1:9">
      <c r="A233" s="1097"/>
      <c r="B233" s="1097"/>
      <c r="C233" s="1097"/>
      <c r="D233" s="1097"/>
      <c r="E233" s="1097"/>
      <c r="F233" s="1097"/>
      <c r="G233" s="1097"/>
      <c r="H233" s="1097"/>
      <c r="I233" s="1097"/>
    </row>
    <row r="234" spans="1:9" ht="24.75" customHeight="1">
      <c r="A234" s="1197" t="s">
        <v>213</v>
      </c>
      <c r="B234" s="1197"/>
      <c r="C234" s="1198" t="s">
        <v>194</v>
      </c>
      <c r="D234" s="1198"/>
      <c r="E234" s="1182">
        <v>0</v>
      </c>
      <c r="F234" s="1182"/>
      <c r="G234" s="1174">
        <f>ROUND((1/1200)*E234,2)</f>
        <v>0</v>
      </c>
      <c r="H234" s="1174"/>
      <c r="I234" s="1174"/>
    </row>
    <row r="235" spans="1:9" ht="24" customHeight="1">
      <c r="A235" s="1130" t="s">
        <v>239</v>
      </c>
      <c r="B235" s="1130"/>
      <c r="C235" s="1194" t="s">
        <v>191</v>
      </c>
      <c r="D235" s="1194"/>
      <c r="E235" s="1174">
        <f>I172</f>
        <v>3613.26</v>
      </c>
      <c r="F235" s="1174"/>
      <c r="G235" s="1174">
        <f>ROUND((1/1200)*E235,2)</f>
        <v>3.01</v>
      </c>
      <c r="H235" s="1174"/>
      <c r="I235" s="1174"/>
    </row>
    <row r="236" spans="1:9">
      <c r="A236" s="1178" t="s">
        <v>134</v>
      </c>
      <c r="B236" s="1178"/>
      <c r="C236" s="1178"/>
      <c r="D236" s="1178"/>
      <c r="E236" s="1178"/>
      <c r="F236" s="1178"/>
      <c r="G236" s="1177">
        <f>SUM(G234+G235)</f>
        <v>3.01</v>
      </c>
      <c r="H236" s="1177"/>
      <c r="I236" s="1177"/>
    </row>
    <row r="237" spans="1:9">
      <c r="A237" s="1200"/>
      <c r="B237" s="1200"/>
      <c r="C237" s="1200"/>
      <c r="D237" s="1200"/>
      <c r="E237" s="1200"/>
      <c r="F237" s="1200"/>
      <c r="G237" s="1200"/>
      <c r="H237" s="1200"/>
      <c r="I237" s="1200"/>
    </row>
    <row r="238" spans="1:9" ht="23.25" customHeight="1">
      <c r="A238" s="1197" t="s">
        <v>252</v>
      </c>
      <c r="B238" s="1197"/>
      <c r="C238" s="1198" t="s">
        <v>194</v>
      </c>
      <c r="D238" s="1198"/>
      <c r="E238" s="1182">
        <v>0</v>
      </c>
      <c r="F238" s="1182"/>
      <c r="G238" s="1174">
        <f>ROUND((1/1200)*E238,2)</f>
        <v>0</v>
      </c>
      <c r="H238" s="1174"/>
      <c r="I238" s="1174"/>
    </row>
    <row r="239" spans="1:9" ht="22.5" customHeight="1">
      <c r="A239" s="1068" t="s">
        <v>240</v>
      </c>
      <c r="B239" s="1068"/>
      <c r="C239" s="1194" t="s">
        <v>191</v>
      </c>
      <c r="D239" s="1194"/>
      <c r="E239" s="1201">
        <f>I172</f>
        <v>3613.26</v>
      </c>
      <c r="F239" s="1201"/>
      <c r="G239" s="1174">
        <f>ROUND((1/1200)*E239,2)</f>
        <v>3.01</v>
      </c>
      <c r="H239" s="1174"/>
      <c r="I239" s="1174"/>
    </row>
    <row r="240" spans="1:9">
      <c r="A240" s="1111" t="s">
        <v>134</v>
      </c>
      <c r="B240" s="1111"/>
      <c r="C240" s="1111"/>
      <c r="D240" s="1111"/>
      <c r="E240" s="1111"/>
      <c r="F240" s="1111"/>
      <c r="G240" s="1192">
        <f>SUM(G238+G239)</f>
        <v>3.01</v>
      </c>
      <c r="H240" s="1192"/>
      <c r="I240" s="1192"/>
    </row>
    <row r="241" spans="1:9">
      <c r="A241" s="1097"/>
      <c r="B241" s="1097"/>
      <c r="C241" s="1097"/>
      <c r="D241" s="1097"/>
      <c r="E241" s="1097"/>
      <c r="F241" s="1097"/>
      <c r="G241" s="1097"/>
      <c r="H241" s="1097"/>
      <c r="I241" s="1097"/>
    </row>
    <row r="242" spans="1:9" ht="36" customHeight="1">
      <c r="A242" s="927" t="s">
        <v>253</v>
      </c>
      <c r="B242" s="927"/>
      <c r="C242" s="1198" t="s">
        <v>197</v>
      </c>
      <c r="D242" s="1198"/>
      <c r="E242" s="1182">
        <v>0</v>
      </c>
      <c r="F242" s="1182"/>
      <c r="G242" s="1174">
        <f>ROUND((1/1200)*E242,2)</f>
        <v>0</v>
      </c>
      <c r="H242" s="1174"/>
      <c r="I242" s="1174"/>
    </row>
    <row r="243" spans="1:9" ht="39.75" customHeight="1">
      <c r="A243" s="1082" t="s">
        <v>241</v>
      </c>
      <c r="B243" s="1082"/>
      <c r="C243" s="1194" t="s">
        <v>198</v>
      </c>
      <c r="D243" s="1194"/>
      <c r="E243" s="1174">
        <f>I172</f>
        <v>3613.26</v>
      </c>
      <c r="F243" s="1174"/>
      <c r="G243" s="1174">
        <f>ROUND((1/100000)*E243,2)</f>
        <v>0.04</v>
      </c>
      <c r="H243" s="1174"/>
      <c r="I243" s="1174"/>
    </row>
    <row r="244" spans="1:9">
      <c r="A244" s="1178" t="s">
        <v>134</v>
      </c>
      <c r="B244" s="1178"/>
      <c r="C244" s="1178"/>
      <c r="D244" s="1178"/>
      <c r="E244" s="1178"/>
      <c r="F244" s="1178"/>
      <c r="G244" s="1177">
        <f>SUM(G242+G243)</f>
        <v>0.04</v>
      </c>
      <c r="H244" s="1177"/>
      <c r="I244" s="1177"/>
    </row>
    <row r="245" spans="1:9">
      <c r="A245" s="1097"/>
      <c r="B245" s="1097"/>
      <c r="C245" s="1097"/>
      <c r="D245" s="1097"/>
      <c r="E245" s="1097"/>
      <c r="F245" s="1097"/>
      <c r="G245" s="1097"/>
      <c r="H245" s="1097"/>
      <c r="I245" s="1097"/>
    </row>
    <row r="246" spans="1:9">
      <c r="A246" s="1082" t="s">
        <v>51</v>
      </c>
      <c r="B246" s="1082"/>
      <c r="C246" s="1082"/>
      <c r="D246" s="1082"/>
      <c r="E246" s="1082"/>
      <c r="F246" s="1082"/>
      <c r="G246" s="1082"/>
      <c r="H246" s="1082"/>
      <c r="I246" s="1082"/>
    </row>
    <row r="247" spans="1:9" ht="30" customHeight="1">
      <c r="A247" s="1082"/>
      <c r="B247" s="1082"/>
      <c r="C247" s="1082"/>
      <c r="D247" s="1082"/>
      <c r="E247" s="1082"/>
      <c r="F247" s="1082"/>
      <c r="G247" s="1082"/>
      <c r="H247" s="1082"/>
      <c r="I247" s="1082"/>
    </row>
    <row r="248" spans="1:9" ht="67.5">
      <c r="A248" s="192" t="s">
        <v>199</v>
      </c>
      <c r="B248" s="128" t="s">
        <v>200</v>
      </c>
      <c r="C248" s="128" t="s">
        <v>135</v>
      </c>
      <c r="D248" s="904" t="s">
        <v>147</v>
      </c>
      <c r="E248" s="904"/>
      <c r="F248" s="128" t="s">
        <v>52</v>
      </c>
      <c r="G248" s="128" t="s">
        <v>201</v>
      </c>
      <c r="H248" s="904" t="s">
        <v>332</v>
      </c>
      <c r="I248" s="904"/>
    </row>
    <row r="249" spans="1:9" ht="51">
      <c r="A249" s="190" t="s">
        <v>254</v>
      </c>
      <c r="B249" s="191" t="s">
        <v>202</v>
      </c>
      <c r="C249" s="193" t="s">
        <v>309</v>
      </c>
      <c r="D249" s="1202" t="s">
        <v>153</v>
      </c>
      <c r="E249" s="1202"/>
      <c r="F249" s="194">
        <f>ROUND((1/(30*110))*16*(1/191.4),7)</f>
        <v>2.5299999999999998E-5</v>
      </c>
      <c r="G249" s="178">
        <v>0</v>
      </c>
      <c r="H249" s="1174">
        <v>0</v>
      </c>
      <c r="I249" s="1174"/>
    </row>
    <row r="250" spans="1:9" ht="51">
      <c r="A250" s="190" t="s">
        <v>242</v>
      </c>
      <c r="B250" s="191" t="s">
        <v>203</v>
      </c>
      <c r="C250" s="193" t="s">
        <v>309</v>
      </c>
      <c r="D250" s="1202" t="s">
        <v>153</v>
      </c>
      <c r="E250" s="1202"/>
      <c r="F250" s="194">
        <f>ROUND((1/110)*16*(1/191.4),7)</f>
        <v>7.6000000000000004E-4</v>
      </c>
      <c r="G250" s="178">
        <f>I172</f>
        <v>3613.26</v>
      </c>
      <c r="H250" s="1174">
        <f>ROUND(F250*G250,2)</f>
        <v>2.75</v>
      </c>
      <c r="I250" s="1174"/>
    </row>
    <row r="251" spans="1:9">
      <c r="A251" s="1178" t="s">
        <v>134</v>
      </c>
      <c r="B251" s="1178"/>
      <c r="C251" s="1178"/>
      <c r="D251" s="1178"/>
      <c r="E251" s="1178"/>
      <c r="F251" s="1178"/>
      <c r="G251" s="1178"/>
      <c r="H251" s="1174">
        <f>SUM(H249+H250)</f>
        <v>2.75</v>
      </c>
      <c r="I251" s="1174"/>
    </row>
    <row r="252" spans="1:9">
      <c r="A252" s="1203"/>
      <c r="B252" s="1203"/>
      <c r="C252" s="1203"/>
      <c r="D252" s="1203"/>
      <c r="E252" s="1203"/>
      <c r="F252" s="1203"/>
      <c r="G252" s="1203"/>
      <c r="H252" s="1203"/>
      <c r="I252" s="1203"/>
    </row>
    <row r="253" spans="1:9" ht="51">
      <c r="A253" s="190" t="s">
        <v>255</v>
      </c>
      <c r="B253" s="195" t="s">
        <v>310</v>
      </c>
      <c r="C253" s="193" t="s">
        <v>309</v>
      </c>
      <c r="D253" s="1202" t="s">
        <v>153</v>
      </c>
      <c r="E253" s="1202"/>
      <c r="F253" s="194">
        <f>ROUND((1/(30*220))*16*(1/191.4),7)</f>
        <v>1.27E-5</v>
      </c>
      <c r="G253" s="178">
        <v>0</v>
      </c>
      <c r="H253" s="1174">
        <v>0</v>
      </c>
      <c r="I253" s="1174"/>
    </row>
    <row r="254" spans="1:9" ht="51">
      <c r="A254" s="190" t="s">
        <v>243</v>
      </c>
      <c r="B254" s="191" t="s">
        <v>205</v>
      </c>
      <c r="C254" s="193" t="s">
        <v>309</v>
      </c>
      <c r="D254" s="1202" t="s">
        <v>153</v>
      </c>
      <c r="E254" s="1202"/>
      <c r="F254" s="194">
        <f>ROUND((1/220)*16*(1/191.4),7)</f>
        <v>3.8000000000000002E-4</v>
      </c>
      <c r="G254" s="178">
        <f>I172</f>
        <v>3613.26</v>
      </c>
      <c r="H254" s="1174">
        <f>ROUND(F254*G254,2)</f>
        <v>1.37</v>
      </c>
      <c r="I254" s="1174"/>
    </row>
    <row r="255" spans="1:9">
      <c r="A255" s="1178" t="s">
        <v>134</v>
      </c>
      <c r="B255" s="1178"/>
      <c r="C255" s="1178"/>
      <c r="D255" s="1178"/>
      <c r="E255" s="1178"/>
      <c r="F255" s="1178"/>
      <c r="G255" s="1178"/>
      <c r="H255" s="1174">
        <f>SUM(H253+H254)</f>
        <v>1.37</v>
      </c>
      <c r="I255" s="1174"/>
    </row>
    <row r="256" spans="1:9">
      <c r="A256" s="1203"/>
      <c r="B256" s="1203"/>
      <c r="C256" s="1203"/>
      <c r="D256" s="1203"/>
      <c r="E256" s="1203"/>
      <c r="F256" s="1203"/>
      <c r="G256" s="1203"/>
      <c r="H256" s="1203"/>
      <c r="I256" s="1203"/>
    </row>
    <row r="257" spans="1:9" ht="25.5">
      <c r="A257" s="190" t="s">
        <v>256</v>
      </c>
      <c r="B257" s="191" t="s">
        <v>204</v>
      </c>
      <c r="C257" s="193" t="s">
        <v>309</v>
      </c>
      <c r="D257" s="1202" t="s">
        <v>153</v>
      </c>
      <c r="E257" s="1202"/>
      <c r="F257" s="194">
        <f>ROUND((1/(30*220))*16*(1/191.4),7)</f>
        <v>1.27E-5</v>
      </c>
      <c r="G257" s="178">
        <v>0</v>
      </c>
      <c r="H257" s="1174">
        <v>0</v>
      </c>
      <c r="I257" s="1174"/>
    </row>
    <row r="258" spans="1:9" ht="25.5">
      <c r="A258" s="190" t="s">
        <v>244</v>
      </c>
      <c r="B258" s="196" t="s">
        <v>205</v>
      </c>
      <c r="C258" s="197" t="s">
        <v>309</v>
      </c>
      <c r="D258" s="1202" t="s">
        <v>153</v>
      </c>
      <c r="E258" s="1202"/>
      <c r="F258" s="194">
        <f>ROUND((1/220)*16*(1/191.4),7)</f>
        <v>3.8000000000000002E-4</v>
      </c>
      <c r="G258" s="178">
        <f>I172</f>
        <v>3613.26</v>
      </c>
      <c r="H258" s="1174">
        <f>ROUND(F258*G258,2)</f>
        <v>1.37</v>
      </c>
      <c r="I258" s="1174"/>
    </row>
    <row r="259" spans="1:9">
      <c r="A259" s="1111" t="s">
        <v>134</v>
      </c>
      <c r="B259" s="1111"/>
      <c r="C259" s="1111"/>
      <c r="D259" s="1111"/>
      <c r="E259" s="1111"/>
      <c r="F259" s="1111"/>
      <c r="G259" s="1111"/>
      <c r="H259" s="1204">
        <f>SUM(H257+H258)</f>
        <v>1.37</v>
      </c>
      <c r="I259" s="1204"/>
    </row>
    <row r="260" spans="1:9">
      <c r="A260" s="1115"/>
      <c r="B260" s="1115"/>
      <c r="C260" s="1115"/>
      <c r="D260" s="1115"/>
      <c r="E260" s="1115"/>
      <c r="F260" s="1115"/>
      <c r="G260" s="1115"/>
      <c r="H260" s="1115"/>
      <c r="I260" s="1115"/>
    </row>
    <row r="261" spans="1:9">
      <c r="A261" s="932" t="s">
        <v>222</v>
      </c>
      <c r="B261" s="932"/>
      <c r="C261" s="932"/>
      <c r="D261" s="932"/>
      <c r="E261" s="932"/>
      <c r="F261" s="932"/>
      <c r="G261" s="932"/>
      <c r="H261" s="932"/>
      <c r="I261" s="198"/>
    </row>
    <row r="262" spans="1:9" ht="63.75">
      <c r="A262" s="199" t="s">
        <v>163</v>
      </c>
      <c r="B262" s="199" t="s">
        <v>217</v>
      </c>
      <c r="C262" s="199" t="s">
        <v>218</v>
      </c>
      <c r="D262" s="1205" t="s">
        <v>219</v>
      </c>
      <c r="E262" s="1205"/>
      <c r="F262" s="199" t="s">
        <v>53</v>
      </c>
      <c r="G262" s="199" t="s">
        <v>220</v>
      </c>
      <c r="H262" s="1205" t="s">
        <v>221</v>
      </c>
      <c r="I262" s="1205"/>
    </row>
    <row r="263" spans="1:9">
      <c r="A263" s="200" t="s">
        <v>155</v>
      </c>
      <c r="B263" s="196" t="s">
        <v>313</v>
      </c>
      <c r="C263" s="197" t="s">
        <v>312</v>
      </c>
      <c r="D263" s="1206" t="s">
        <v>316</v>
      </c>
      <c r="E263" s="1206"/>
      <c r="F263" s="201">
        <f>ROUND((1/(4*110))*8*(1/1148.4),7)</f>
        <v>1.5800000000000001E-5</v>
      </c>
      <c r="G263" s="202">
        <v>0</v>
      </c>
      <c r="H263" s="1207">
        <f>ROUND(F263*G263,2)</f>
        <v>0</v>
      </c>
      <c r="I263" s="1207"/>
    </row>
    <row r="264" spans="1:9">
      <c r="A264" s="200" t="s">
        <v>154</v>
      </c>
      <c r="B264" s="196" t="s">
        <v>203</v>
      </c>
      <c r="C264" s="197" t="s">
        <v>312</v>
      </c>
      <c r="D264" s="1208" t="s">
        <v>316</v>
      </c>
      <c r="E264" s="1208"/>
      <c r="F264" s="201">
        <f>ROUND((1/110)*8*(1/1148.4),7)</f>
        <v>6.3299999999999994E-5</v>
      </c>
      <c r="G264" s="202">
        <f>I172</f>
        <v>3613.26</v>
      </c>
      <c r="H264" s="1207">
        <f>ROUND(F264*G264,2)</f>
        <v>0.23</v>
      </c>
      <c r="I264" s="1207"/>
    </row>
    <row r="265" spans="1:9">
      <c r="A265" s="1111" t="s">
        <v>134</v>
      </c>
      <c r="B265" s="1111"/>
      <c r="C265" s="1111"/>
      <c r="D265" s="1111"/>
      <c r="E265" s="1111"/>
      <c r="F265" s="1111"/>
      <c r="G265" s="1111"/>
      <c r="H265" s="1204">
        <f>SUM(H263+H264)</f>
        <v>0.23</v>
      </c>
      <c r="I265" s="1204"/>
    </row>
    <row r="266" spans="1:9">
      <c r="A266" s="1203"/>
      <c r="B266" s="1203"/>
      <c r="C266" s="1203"/>
      <c r="D266" s="1203"/>
      <c r="E266" s="1203"/>
      <c r="F266" s="1203"/>
      <c r="G266" s="1203"/>
      <c r="H266" s="1203"/>
      <c r="I266" s="1203"/>
    </row>
    <row r="267" spans="1:9">
      <c r="A267" s="1209" t="s">
        <v>206</v>
      </c>
      <c r="B267" s="1209"/>
      <c r="C267" s="1209"/>
      <c r="D267" s="1209"/>
      <c r="E267" s="1209"/>
      <c r="F267" s="1209"/>
      <c r="G267" s="1209"/>
      <c r="H267" s="1209"/>
      <c r="I267" s="203"/>
    </row>
    <row r="268" spans="1:9">
      <c r="A268" s="1209"/>
      <c r="B268" s="1209"/>
      <c r="C268" s="1209"/>
      <c r="D268" s="1209"/>
      <c r="E268" s="1209"/>
      <c r="F268" s="1209"/>
      <c r="G268" s="1209"/>
      <c r="H268" s="1209"/>
      <c r="I268" s="204"/>
    </row>
    <row r="269" spans="1:9" ht="39.75" customHeight="1">
      <c r="A269" s="904" t="s">
        <v>163</v>
      </c>
      <c r="B269" s="904"/>
      <c r="C269" s="1136" t="s">
        <v>74</v>
      </c>
      <c r="D269" s="1136"/>
      <c r="E269" s="904" t="s">
        <v>75</v>
      </c>
      <c r="F269" s="904"/>
      <c r="G269" s="904" t="s">
        <v>150</v>
      </c>
      <c r="H269" s="904"/>
      <c r="I269" s="904"/>
    </row>
    <row r="270" spans="1:9">
      <c r="A270" s="1210" t="s">
        <v>155</v>
      </c>
      <c r="B270" s="1210"/>
      <c r="C270" s="1211" t="s">
        <v>207</v>
      </c>
      <c r="D270" s="1211"/>
      <c r="E270" s="1212">
        <v>0</v>
      </c>
      <c r="F270" s="1212"/>
      <c r="G270" s="1174">
        <v>0</v>
      </c>
      <c r="H270" s="1174"/>
      <c r="I270" s="1174"/>
    </row>
    <row r="271" spans="1:9">
      <c r="A271" s="1210" t="s">
        <v>154</v>
      </c>
      <c r="B271" s="1210"/>
      <c r="C271" s="1213" t="s">
        <v>187</v>
      </c>
      <c r="D271" s="1213"/>
      <c r="E271" s="1212">
        <v>0</v>
      </c>
      <c r="F271" s="1212"/>
      <c r="G271" s="1214">
        <v>0</v>
      </c>
      <c r="H271" s="1214"/>
      <c r="I271" s="1214"/>
    </row>
    <row r="272" spans="1:9">
      <c r="A272" s="1111" t="s">
        <v>134</v>
      </c>
      <c r="B272" s="1111"/>
      <c r="C272" s="1111"/>
      <c r="D272" s="1111"/>
      <c r="E272" s="1111"/>
      <c r="F272" s="1111"/>
      <c r="G272" s="1215">
        <f>SUM(G270+G271)</f>
        <v>0</v>
      </c>
      <c r="H272" s="1215"/>
      <c r="I272" s="1215"/>
    </row>
    <row r="273" spans="1:9">
      <c r="A273" s="1216"/>
      <c r="B273" s="1216"/>
      <c r="C273" s="1216"/>
      <c r="D273" s="1216"/>
      <c r="E273" s="1216"/>
      <c r="F273" s="1216"/>
      <c r="G273" s="1216"/>
      <c r="H273" s="1216"/>
      <c r="I273" s="1216"/>
    </row>
    <row r="274" spans="1:9">
      <c r="A274" s="953" t="s">
        <v>54</v>
      </c>
      <c r="B274" s="953"/>
      <c r="C274" s="953"/>
      <c r="D274" s="953"/>
      <c r="E274" s="953"/>
      <c r="F274" s="953"/>
      <c r="G274" s="953"/>
      <c r="H274" s="953"/>
      <c r="I274" s="953"/>
    </row>
    <row r="275" spans="1:9">
      <c r="A275" s="907" t="s">
        <v>111</v>
      </c>
      <c r="B275" s="907"/>
      <c r="C275" s="907"/>
      <c r="D275" s="907"/>
      <c r="E275" s="907"/>
      <c r="F275" s="907"/>
      <c r="G275" s="907"/>
      <c r="H275" s="907"/>
      <c r="I275" s="907"/>
    </row>
    <row r="276" spans="1:9">
      <c r="A276" s="907"/>
      <c r="B276" s="907"/>
      <c r="C276" s="907"/>
      <c r="D276" s="907"/>
      <c r="E276" s="907"/>
      <c r="F276" s="907"/>
      <c r="G276" s="907"/>
      <c r="H276" s="907"/>
      <c r="I276" s="907"/>
    </row>
    <row r="277" spans="1:9" ht="25.5">
      <c r="A277" s="948" t="s">
        <v>136</v>
      </c>
      <c r="B277" s="948"/>
      <c r="C277" s="948"/>
      <c r="D277" s="949" t="s">
        <v>137</v>
      </c>
      <c r="E277" s="949"/>
      <c r="F277" s="132" t="s">
        <v>55</v>
      </c>
      <c r="G277" s="1217" t="s">
        <v>56</v>
      </c>
      <c r="H277" s="1217"/>
      <c r="I277" s="1217"/>
    </row>
    <row r="278" spans="1:9">
      <c r="A278" s="907" t="s">
        <v>57</v>
      </c>
      <c r="B278" s="907"/>
      <c r="C278" s="907"/>
      <c r="D278" s="931">
        <f>G198</f>
        <v>6.02</v>
      </c>
      <c r="E278" s="931"/>
      <c r="F278" s="205">
        <f t="shared" ref="F278:F284" si="1">H14</f>
        <v>0</v>
      </c>
      <c r="G278" s="926">
        <f t="shared" ref="G278:G283" si="2">ROUND(D278*F278,2)</f>
        <v>0</v>
      </c>
      <c r="H278" s="926"/>
      <c r="I278" s="926"/>
    </row>
    <row r="279" spans="1:9">
      <c r="A279" s="907" t="s">
        <v>58</v>
      </c>
      <c r="B279" s="907"/>
      <c r="C279" s="907"/>
      <c r="D279" s="931">
        <f>G202</f>
        <v>6.02</v>
      </c>
      <c r="E279" s="931"/>
      <c r="F279" s="205">
        <f t="shared" si="1"/>
        <v>600</v>
      </c>
      <c r="G279" s="926">
        <f>ROUND(D279*F279,2)</f>
        <v>3612</v>
      </c>
      <c r="H279" s="926"/>
      <c r="I279" s="926"/>
    </row>
    <row r="280" spans="1:9">
      <c r="A280" s="907" t="s">
        <v>59</v>
      </c>
      <c r="B280" s="907"/>
      <c r="C280" s="907"/>
      <c r="D280" s="931">
        <v>0</v>
      </c>
      <c r="E280" s="931"/>
      <c r="F280" s="205">
        <f t="shared" si="1"/>
        <v>0</v>
      </c>
      <c r="G280" s="926">
        <f t="shared" si="2"/>
        <v>0</v>
      </c>
      <c r="H280" s="926"/>
      <c r="I280" s="926"/>
    </row>
    <row r="281" spans="1:9">
      <c r="A281" s="907" t="s">
        <v>60</v>
      </c>
      <c r="B281" s="907"/>
      <c r="C281" s="907"/>
      <c r="D281" s="931">
        <f>G210</f>
        <v>2.68</v>
      </c>
      <c r="E281" s="931"/>
      <c r="F281" s="205">
        <f t="shared" si="1"/>
        <v>0</v>
      </c>
      <c r="G281" s="942">
        <f>ROUND(D281*F281,2)</f>
        <v>0</v>
      </c>
      <c r="H281" s="942"/>
      <c r="I281" s="942"/>
    </row>
    <row r="282" spans="1:9">
      <c r="A282" s="907" t="s">
        <v>61</v>
      </c>
      <c r="B282" s="907"/>
      <c r="C282" s="907"/>
      <c r="D282" s="931">
        <v>0</v>
      </c>
      <c r="E282" s="931"/>
      <c r="F282" s="205">
        <f t="shared" si="1"/>
        <v>0</v>
      </c>
      <c r="G282" s="926">
        <f t="shared" si="2"/>
        <v>0</v>
      </c>
      <c r="H282" s="926"/>
      <c r="I282" s="926"/>
    </row>
    <row r="283" spans="1:9" ht="25.5" customHeight="1">
      <c r="A283" s="932" t="s">
        <v>62</v>
      </c>
      <c r="B283" s="932"/>
      <c r="C283" s="932"/>
      <c r="D283" s="931">
        <f>G218</f>
        <v>4.5199999999999996</v>
      </c>
      <c r="E283" s="931"/>
      <c r="F283" s="205">
        <f t="shared" si="1"/>
        <v>0</v>
      </c>
      <c r="G283" s="926">
        <f t="shared" si="2"/>
        <v>0</v>
      </c>
      <c r="H283" s="926"/>
      <c r="I283" s="926"/>
    </row>
    <row r="284" spans="1:9">
      <c r="A284" s="922" t="s">
        <v>173</v>
      </c>
      <c r="B284" s="922"/>
      <c r="C284" s="922"/>
      <c r="D284" s="922"/>
      <c r="E284" s="922"/>
      <c r="F284" s="206">
        <f t="shared" si="1"/>
        <v>600</v>
      </c>
      <c r="G284" s="923">
        <f>SUM(G278:H283)</f>
        <v>3612</v>
      </c>
      <c r="H284" s="923"/>
      <c r="I284" s="923"/>
    </row>
    <row r="285" spans="1:9">
      <c r="A285" s="934"/>
      <c r="B285" s="934"/>
      <c r="C285" s="934"/>
      <c r="D285" s="934"/>
      <c r="E285" s="934"/>
      <c r="F285" s="934"/>
      <c r="G285" s="934"/>
      <c r="H285" s="934"/>
      <c r="I285" s="934"/>
    </row>
    <row r="286" spans="1:9">
      <c r="A286" s="935" t="s">
        <v>63</v>
      </c>
      <c r="B286" s="935"/>
      <c r="C286" s="935"/>
      <c r="D286" s="925">
        <f>G223</f>
        <v>3.01</v>
      </c>
      <c r="E286" s="925"/>
      <c r="F286" s="207">
        <f t="shared" ref="F286:F292" si="3">H22</f>
        <v>0</v>
      </c>
      <c r="G286" s="926">
        <f t="shared" ref="G286:G291" si="4">ROUND(D286*F286,2)</f>
        <v>0</v>
      </c>
      <c r="H286" s="926"/>
      <c r="I286" s="926"/>
    </row>
    <row r="287" spans="1:9">
      <c r="A287" s="932" t="s">
        <v>64</v>
      </c>
      <c r="B287" s="932"/>
      <c r="C287" s="932"/>
      <c r="D287" s="931">
        <f>G227</f>
        <v>0.6</v>
      </c>
      <c r="E287" s="931"/>
      <c r="F287" s="208">
        <f t="shared" si="3"/>
        <v>0</v>
      </c>
      <c r="G287" s="926">
        <f t="shared" si="4"/>
        <v>0</v>
      </c>
      <c r="H287" s="926"/>
      <c r="I287" s="926"/>
    </row>
    <row r="288" spans="1:9">
      <c r="A288" s="932" t="s">
        <v>65</v>
      </c>
      <c r="B288" s="932"/>
      <c r="C288" s="932"/>
      <c r="D288" s="931">
        <f>G231</f>
        <v>3.01</v>
      </c>
      <c r="E288" s="931"/>
      <c r="F288" s="208">
        <f t="shared" si="3"/>
        <v>0</v>
      </c>
      <c r="G288" s="926">
        <f t="shared" si="4"/>
        <v>0</v>
      </c>
      <c r="H288" s="926"/>
      <c r="I288" s="926"/>
    </row>
    <row r="289" spans="1:9" ht="22.5" customHeight="1">
      <c r="A289" s="932" t="s">
        <v>66</v>
      </c>
      <c r="B289" s="932"/>
      <c r="C289" s="932"/>
      <c r="D289" s="931">
        <f>G235</f>
        <v>3.01</v>
      </c>
      <c r="E289" s="931"/>
      <c r="F289" s="208">
        <f t="shared" si="3"/>
        <v>0</v>
      </c>
      <c r="G289" s="926">
        <f t="shared" si="4"/>
        <v>0</v>
      </c>
      <c r="H289" s="926"/>
      <c r="I289" s="926"/>
    </row>
    <row r="290" spans="1:9" ht="22.5" customHeight="1">
      <c r="A290" s="932" t="s">
        <v>67</v>
      </c>
      <c r="B290" s="932"/>
      <c r="C290" s="932"/>
      <c r="D290" s="931">
        <f>G239</f>
        <v>3.01</v>
      </c>
      <c r="E290" s="931"/>
      <c r="F290" s="208">
        <f t="shared" si="3"/>
        <v>0</v>
      </c>
      <c r="G290" s="926">
        <f t="shared" si="4"/>
        <v>0</v>
      </c>
      <c r="H290" s="926"/>
      <c r="I290" s="926"/>
    </row>
    <row r="291" spans="1:9" ht="22.5" customHeight="1">
      <c r="A291" s="932" t="s">
        <v>68</v>
      </c>
      <c r="B291" s="932"/>
      <c r="C291" s="932"/>
      <c r="D291" s="931">
        <f>G243</f>
        <v>0.04</v>
      </c>
      <c r="E291" s="931"/>
      <c r="F291" s="208">
        <f t="shared" si="3"/>
        <v>0</v>
      </c>
      <c r="G291" s="926">
        <f t="shared" si="4"/>
        <v>0</v>
      </c>
      <c r="H291" s="926"/>
      <c r="I291" s="926"/>
    </row>
    <row r="292" spans="1:9">
      <c r="A292" s="922" t="s">
        <v>180</v>
      </c>
      <c r="B292" s="922"/>
      <c r="C292" s="922"/>
      <c r="D292" s="922"/>
      <c r="E292" s="922"/>
      <c r="F292" s="209">
        <f t="shared" si="3"/>
        <v>0</v>
      </c>
      <c r="G292" s="923">
        <f>SUM(G286:H291)</f>
        <v>0</v>
      </c>
      <c r="H292" s="923"/>
      <c r="I292" s="923"/>
    </row>
    <row r="293" spans="1:9">
      <c r="A293" s="918"/>
      <c r="B293" s="918"/>
      <c r="C293" s="918"/>
      <c r="D293" s="918"/>
      <c r="E293" s="918"/>
      <c r="F293" s="918"/>
      <c r="G293" s="918"/>
      <c r="H293" s="918"/>
      <c r="I293" s="918"/>
    </row>
    <row r="294" spans="1:9">
      <c r="A294" s="1218" t="s">
        <v>69</v>
      </c>
      <c r="B294" s="1218"/>
      <c r="C294" s="1218"/>
      <c r="D294" s="925">
        <f>H250</f>
        <v>2.75</v>
      </c>
      <c r="E294" s="925"/>
      <c r="F294" s="210">
        <f>H30</f>
        <v>0</v>
      </c>
      <c r="G294" s="926">
        <f>ROUND(D294*F294,2)</f>
        <v>0</v>
      </c>
      <c r="H294" s="926"/>
      <c r="I294" s="926"/>
    </row>
    <row r="295" spans="1:9">
      <c r="A295" s="899" t="s">
        <v>70</v>
      </c>
      <c r="B295" s="899"/>
      <c r="C295" s="899"/>
      <c r="D295" s="931">
        <f>H254</f>
        <v>1.37</v>
      </c>
      <c r="E295" s="931"/>
      <c r="F295" s="205">
        <f>H31</f>
        <v>0</v>
      </c>
      <c r="G295" s="926">
        <f>ROUND((D295*F295),2)</f>
        <v>0</v>
      </c>
      <c r="H295" s="926"/>
      <c r="I295" s="926"/>
    </row>
    <row r="296" spans="1:9">
      <c r="A296" s="899" t="s">
        <v>71</v>
      </c>
      <c r="B296" s="899"/>
      <c r="C296" s="899"/>
      <c r="D296" s="931">
        <f>H258</f>
        <v>1.37</v>
      </c>
      <c r="E296" s="931"/>
      <c r="F296" s="205">
        <f>H32</f>
        <v>0</v>
      </c>
      <c r="G296" s="926">
        <f>ROUND((D296*F296),2)</f>
        <v>0</v>
      </c>
      <c r="H296" s="926"/>
      <c r="I296" s="926"/>
    </row>
    <row r="297" spans="1:9">
      <c r="A297" s="922" t="s">
        <v>210</v>
      </c>
      <c r="B297" s="922"/>
      <c r="C297" s="922"/>
      <c r="D297" s="922"/>
      <c r="E297" s="922"/>
      <c r="F297" s="206">
        <f>H33</f>
        <v>0</v>
      </c>
      <c r="G297" s="923">
        <f>SUM(G294:H296)</f>
        <v>0</v>
      </c>
      <c r="H297" s="923"/>
      <c r="I297" s="923"/>
    </row>
    <row r="298" spans="1:9">
      <c r="A298" s="918"/>
      <c r="B298" s="918"/>
      <c r="C298" s="918"/>
      <c r="D298" s="918"/>
      <c r="E298" s="918"/>
      <c r="F298" s="918"/>
      <c r="G298" s="918"/>
      <c r="H298" s="918"/>
      <c r="I298" s="918"/>
    </row>
    <row r="299" spans="1:9">
      <c r="A299" s="927" t="s">
        <v>72</v>
      </c>
      <c r="B299" s="927"/>
      <c r="C299" s="927"/>
      <c r="D299" s="925">
        <f>H264</f>
        <v>0.23</v>
      </c>
      <c r="E299" s="925"/>
      <c r="F299" s="211">
        <f>H36</f>
        <v>0</v>
      </c>
      <c r="G299" s="917">
        <f>ROUND((D299*F299),2)</f>
        <v>0</v>
      </c>
      <c r="H299" s="917"/>
      <c r="I299" s="917"/>
    </row>
    <row r="300" spans="1:9">
      <c r="A300" s="922" t="s">
        <v>223</v>
      </c>
      <c r="B300" s="922"/>
      <c r="C300" s="922"/>
      <c r="D300" s="922"/>
      <c r="E300" s="922"/>
      <c r="F300" s="206">
        <f>F299</f>
        <v>0</v>
      </c>
      <c r="G300" s="923">
        <f>G299</f>
        <v>0</v>
      </c>
      <c r="H300" s="923"/>
      <c r="I300" s="923"/>
    </row>
    <row r="301" spans="1:9">
      <c r="A301" s="918"/>
      <c r="B301" s="918"/>
      <c r="C301" s="918"/>
      <c r="D301" s="918"/>
      <c r="E301" s="918"/>
      <c r="F301" s="918"/>
      <c r="G301" s="918"/>
      <c r="H301" s="918"/>
      <c r="I301" s="918"/>
    </row>
    <row r="302" spans="1:9">
      <c r="A302" s="924" t="s">
        <v>73</v>
      </c>
      <c r="B302" s="924"/>
      <c r="C302" s="924"/>
      <c r="D302" s="1219"/>
      <c r="E302" s="1219"/>
      <c r="F302" s="210">
        <v>0</v>
      </c>
      <c r="G302" s="926">
        <v>0</v>
      </c>
      <c r="H302" s="926"/>
      <c r="I302" s="926"/>
    </row>
    <row r="303" spans="1:9">
      <c r="A303" s="916" t="s">
        <v>211</v>
      </c>
      <c r="B303" s="916"/>
      <c r="C303" s="916"/>
      <c r="D303" s="916"/>
      <c r="E303" s="916"/>
      <c r="F303" s="212">
        <f>H39</f>
        <v>0</v>
      </c>
      <c r="G303" s="917">
        <f>H302</f>
        <v>0</v>
      </c>
      <c r="H303" s="917"/>
      <c r="I303" s="917"/>
    </row>
    <row r="304" spans="1:9">
      <c r="A304" s="1220"/>
      <c r="B304" s="1220"/>
      <c r="C304" s="1220"/>
      <c r="D304" s="1220"/>
      <c r="E304" s="1220"/>
      <c r="F304" s="1220"/>
      <c r="G304" s="1220"/>
      <c r="H304" s="1220"/>
      <c r="I304" s="1220"/>
    </row>
    <row r="305" spans="1:9">
      <c r="A305" s="919" t="s">
        <v>134</v>
      </c>
      <c r="B305" s="919"/>
      <c r="C305" s="919"/>
      <c r="D305" s="919"/>
      <c r="E305" s="919"/>
      <c r="F305" s="211">
        <f>ROUND(F284+F292+F297+F300+F303,2)</f>
        <v>600</v>
      </c>
      <c r="G305" s="917">
        <f>SUM(G284+G292+G297+G300+G303)</f>
        <v>3612</v>
      </c>
      <c r="H305" s="917"/>
      <c r="I305" s="917"/>
    </row>
    <row r="306" spans="1:9">
      <c r="A306" s="912"/>
      <c r="B306" s="912"/>
      <c r="C306" s="912"/>
      <c r="D306" s="912"/>
      <c r="E306" s="912"/>
      <c r="F306" s="912"/>
      <c r="G306" s="912"/>
      <c r="H306" s="912"/>
      <c r="I306" s="912"/>
    </row>
    <row r="307" spans="1:9" ht="18">
      <c r="A307" s="913" t="s">
        <v>124</v>
      </c>
      <c r="B307" s="913"/>
      <c r="C307" s="913"/>
      <c r="D307" s="913"/>
      <c r="E307" s="913"/>
      <c r="F307" s="913"/>
      <c r="G307" s="914">
        <f>G305</f>
        <v>3612</v>
      </c>
      <c r="H307" s="914"/>
      <c r="I307" s="914"/>
    </row>
    <row r="308" spans="1:9" ht="18">
      <c r="A308" s="915"/>
      <c r="B308" s="915"/>
      <c r="C308" s="915"/>
      <c r="D308" s="915"/>
      <c r="E308" s="915"/>
      <c r="F308" s="915"/>
      <c r="G308" s="915"/>
      <c r="H308" s="915"/>
      <c r="I308" s="915"/>
    </row>
    <row r="309" spans="1:9" ht="18">
      <c r="A309" s="920" t="s">
        <v>314</v>
      </c>
      <c r="B309" s="920"/>
      <c r="C309" s="920"/>
      <c r="D309" s="920"/>
      <c r="E309" s="920"/>
      <c r="F309" s="920"/>
      <c r="G309" s="921">
        <f>$H$11</f>
        <v>12</v>
      </c>
      <c r="H309" s="921"/>
      <c r="I309" s="921"/>
    </row>
    <row r="310" spans="1:9" ht="18">
      <c r="A310" s="909"/>
      <c r="B310" s="909"/>
      <c r="C310" s="909"/>
      <c r="D310" s="909"/>
      <c r="E310" s="909"/>
      <c r="F310" s="909"/>
      <c r="G310" s="909"/>
      <c r="H310" s="909"/>
      <c r="I310" s="909"/>
    </row>
    <row r="311" spans="1:9" ht="18">
      <c r="A311" s="910" t="s">
        <v>315</v>
      </c>
      <c r="B311" s="910"/>
      <c r="C311" s="910"/>
      <c r="D311" s="910"/>
      <c r="E311" s="910"/>
      <c r="F311" s="910"/>
      <c r="G311" s="1221">
        <f>ROUND(G305*G309,2)</f>
        <v>43344</v>
      </c>
      <c r="H311" s="1221"/>
      <c r="I311" s="1221"/>
    </row>
    <row r="312" spans="1:9">
      <c r="A312" s="901"/>
      <c r="B312" s="901"/>
      <c r="C312" s="901"/>
      <c r="D312" s="901"/>
      <c r="E312" s="901"/>
      <c r="F312" s="901"/>
      <c r="G312" s="901"/>
      <c r="H312" s="901"/>
      <c r="I312" s="901"/>
    </row>
    <row r="313" spans="1:9">
      <c r="A313" s="902" t="s">
        <v>320</v>
      </c>
      <c r="B313" s="902"/>
      <c r="C313" s="902"/>
      <c r="D313" s="902"/>
      <c r="E313" s="902"/>
      <c r="F313" s="902"/>
      <c r="G313" s="902"/>
      <c r="H313" s="902"/>
      <c r="I313" s="902"/>
    </row>
    <row r="314" spans="1:9">
      <c r="A314" s="903" t="s">
        <v>166</v>
      </c>
      <c r="B314" s="903"/>
      <c r="C314" s="903"/>
      <c r="D314" s="903"/>
      <c r="E314" s="903"/>
      <c r="F314" s="903"/>
      <c r="G314" s="903"/>
      <c r="H314" s="904" t="s">
        <v>158</v>
      </c>
      <c r="I314" s="904"/>
    </row>
    <row r="315" spans="1:9">
      <c r="A315" s="903"/>
      <c r="B315" s="903"/>
      <c r="C315" s="903"/>
      <c r="D315" s="903"/>
      <c r="E315" s="903"/>
      <c r="F315" s="903"/>
      <c r="G315" s="903"/>
      <c r="H315" s="904"/>
      <c r="I315" s="904"/>
    </row>
    <row r="316" spans="1:9">
      <c r="A316" s="895" t="s">
        <v>154</v>
      </c>
      <c r="B316" s="895"/>
      <c r="C316" s="895"/>
      <c r="D316" s="895"/>
      <c r="E316" s="895"/>
      <c r="F316" s="895"/>
      <c r="G316" s="895"/>
      <c r="H316" s="896"/>
      <c r="I316" s="896"/>
    </row>
    <row r="317" spans="1:9">
      <c r="A317" s="895" t="s">
        <v>155</v>
      </c>
      <c r="B317" s="895"/>
      <c r="C317" s="895"/>
      <c r="D317" s="895"/>
      <c r="E317" s="895"/>
      <c r="F317" s="895"/>
      <c r="G317" s="895"/>
      <c r="H317" s="896"/>
      <c r="I317" s="896"/>
    </row>
    <row r="318" spans="1:9">
      <c r="A318" s="899"/>
      <c r="B318" s="899"/>
      <c r="C318" s="899"/>
      <c r="D318" s="899"/>
      <c r="E318" s="899"/>
      <c r="F318" s="899"/>
      <c r="G318" s="899"/>
      <c r="H318" s="899"/>
      <c r="I318" s="899"/>
    </row>
    <row r="319" spans="1:9">
      <c r="A319" s="900"/>
      <c r="B319" s="900"/>
      <c r="C319" s="900"/>
      <c r="D319" s="900"/>
      <c r="E319" s="900"/>
      <c r="F319" s="900"/>
      <c r="G319" s="900"/>
      <c r="H319" s="900"/>
      <c r="I319" s="900"/>
    </row>
    <row r="320" spans="1:9">
      <c r="A320" s="900"/>
      <c r="B320" s="900"/>
      <c r="C320" s="900"/>
      <c r="D320" s="900"/>
      <c r="E320" s="900"/>
      <c r="F320" s="900"/>
      <c r="G320" s="900"/>
      <c r="H320" s="900"/>
      <c r="I320" s="900"/>
    </row>
    <row r="321" spans="1:9">
      <c r="A321" s="908" t="s">
        <v>329</v>
      </c>
      <c r="B321" s="908"/>
      <c r="C321" s="908"/>
      <c r="D321" s="908"/>
      <c r="E321" s="908"/>
      <c r="F321" s="908"/>
      <c r="G321" s="908"/>
      <c r="H321" s="908"/>
      <c r="I321" s="908"/>
    </row>
    <row r="322" spans="1:9">
      <c r="A322" s="904" t="s">
        <v>212</v>
      </c>
      <c r="B322" s="904"/>
      <c r="C322" s="904"/>
      <c r="D322" s="904"/>
      <c r="E322" s="904"/>
      <c r="F322" s="904"/>
      <c r="G322" s="904"/>
      <c r="H322" s="904" t="s">
        <v>160</v>
      </c>
      <c r="I322" s="904"/>
    </row>
    <row r="323" spans="1:9" ht="15">
      <c r="A323" s="906"/>
      <c r="B323" s="906"/>
      <c r="C323" s="906"/>
      <c r="D323" s="906"/>
      <c r="E323" s="906"/>
      <c r="F323" s="906"/>
      <c r="G323" s="906"/>
      <c r="H323" s="905"/>
      <c r="I323" s="905"/>
    </row>
    <row r="324" spans="1:9">
      <c r="A324" s="907"/>
      <c r="B324" s="907"/>
      <c r="C324" s="907"/>
      <c r="D324" s="907"/>
      <c r="E324" s="907"/>
      <c r="F324" s="907"/>
      <c r="G324" s="907"/>
      <c r="H324" s="905"/>
      <c r="I324" s="905"/>
    </row>
    <row r="325" spans="1:9">
      <c r="A325" s="899"/>
      <c r="B325" s="899"/>
      <c r="C325" s="899"/>
      <c r="D325" s="899"/>
      <c r="E325" s="899"/>
      <c r="F325" s="899"/>
      <c r="G325" s="899"/>
      <c r="H325" s="905"/>
      <c r="I325" s="905"/>
    </row>
  </sheetData>
  <mergeCells count="543">
    <mergeCell ref="A325:G325"/>
    <mergeCell ref="H325:I325"/>
    <mergeCell ref="A318:I318"/>
    <mergeCell ref="A319:I320"/>
    <mergeCell ref="A321:I321"/>
    <mergeCell ref="A322:G322"/>
    <mergeCell ref="H322:I322"/>
    <mergeCell ref="A323:G323"/>
    <mergeCell ref="H323:I323"/>
    <mergeCell ref="A313:I313"/>
    <mergeCell ref="A314:G315"/>
    <mergeCell ref="H314:I315"/>
    <mergeCell ref="A316:G316"/>
    <mergeCell ref="H316:I316"/>
    <mergeCell ref="A317:G317"/>
    <mergeCell ref="H317:I317"/>
    <mergeCell ref="A324:G324"/>
    <mergeCell ref="H324:I324"/>
    <mergeCell ref="A307:F307"/>
    <mergeCell ref="G307:I307"/>
    <mergeCell ref="A308:I308"/>
    <mergeCell ref="A309:F309"/>
    <mergeCell ref="G309:I309"/>
    <mergeCell ref="A310:I310"/>
    <mergeCell ref="A311:F311"/>
    <mergeCell ref="G311:I311"/>
    <mergeCell ref="A312:I312"/>
    <mergeCell ref="A302:C302"/>
    <mergeCell ref="D302:E302"/>
    <mergeCell ref="G302:I302"/>
    <mergeCell ref="A303:E303"/>
    <mergeCell ref="G303:I303"/>
    <mergeCell ref="A304:I304"/>
    <mergeCell ref="A305:E305"/>
    <mergeCell ref="G305:I305"/>
    <mergeCell ref="A306:I306"/>
    <mergeCell ref="A297:E297"/>
    <mergeCell ref="G297:I297"/>
    <mergeCell ref="A298:I298"/>
    <mergeCell ref="A299:C299"/>
    <mergeCell ref="D299:E299"/>
    <mergeCell ref="G299:I299"/>
    <mergeCell ref="A300:E300"/>
    <mergeCell ref="G300:I300"/>
    <mergeCell ref="A301:I301"/>
    <mergeCell ref="A294:C294"/>
    <mergeCell ref="D294:E294"/>
    <mergeCell ref="G294:I294"/>
    <mergeCell ref="A295:C295"/>
    <mergeCell ref="D295:E295"/>
    <mergeCell ref="G295:I295"/>
    <mergeCell ref="A296:C296"/>
    <mergeCell ref="D296:E296"/>
    <mergeCell ref="G296:I296"/>
    <mergeCell ref="A290:C290"/>
    <mergeCell ref="D290:E290"/>
    <mergeCell ref="G290:I290"/>
    <mergeCell ref="A291:C291"/>
    <mergeCell ref="D291:E291"/>
    <mergeCell ref="G291:I291"/>
    <mergeCell ref="A292:E292"/>
    <mergeCell ref="G292:I292"/>
    <mergeCell ref="A293:I293"/>
    <mergeCell ref="A287:C287"/>
    <mergeCell ref="D287:E287"/>
    <mergeCell ref="G287:I287"/>
    <mergeCell ref="A288:C288"/>
    <mergeCell ref="D288:E288"/>
    <mergeCell ref="G288:I288"/>
    <mergeCell ref="A289:C289"/>
    <mergeCell ref="D289:E289"/>
    <mergeCell ref="G289:I289"/>
    <mergeCell ref="A283:C283"/>
    <mergeCell ref="D283:E283"/>
    <mergeCell ref="G283:I283"/>
    <mergeCell ref="A284:E284"/>
    <mergeCell ref="G284:I284"/>
    <mergeCell ref="A285:I285"/>
    <mergeCell ref="A286:C286"/>
    <mergeCell ref="D286:E286"/>
    <mergeCell ref="G286:I286"/>
    <mergeCell ref="A280:C280"/>
    <mergeCell ref="D280:E280"/>
    <mergeCell ref="G280:I280"/>
    <mergeCell ref="A281:C281"/>
    <mergeCell ref="D281:E281"/>
    <mergeCell ref="G281:I281"/>
    <mergeCell ref="A282:C282"/>
    <mergeCell ref="D282:E282"/>
    <mergeCell ref="G282:I282"/>
    <mergeCell ref="A277:C277"/>
    <mergeCell ref="D277:E277"/>
    <mergeCell ref="G277:I277"/>
    <mergeCell ref="A278:C278"/>
    <mergeCell ref="D278:E278"/>
    <mergeCell ref="G278:I278"/>
    <mergeCell ref="A279:C279"/>
    <mergeCell ref="D279:E279"/>
    <mergeCell ref="G279:I279"/>
    <mergeCell ref="A271:B271"/>
    <mergeCell ref="C271:D271"/>
    <mergeCell ref="E271:F271"/>
    <mergeCell ref="G271:I271"/>
    <mergeCell ref="A272:F272"/>
    <mergeCell ref="G272:I272"/>
    <mergeCell ref="A273:I273"/>
    <mergeCell ref="A274:I274"/>
    <mergeCell ref="A275:I276"/>
    <mergeCell ref="A267:H268"/>
    <mergeCell ref="A269:B269"/>
    <mergeCell ref="C269:D269"/>
    <mergeCell ref="E269:F269"/>
    <mergeCell ref="G269:I269"/>
    <mergeCell ref="A270:B270"/>
    <mergeCell ref="C270:D270"/>
    <mergeCell ref="E270:F270"/>
    <mergeCell ref="G270:I270"/>
    <mergeCell ref="D262:E262"/>
    <mergeCell ref="H262:I262"/>
    <mergeCell ref="D263:E263"/>
    <mergeCell ref="H263:I263"/>
    <mergeCell ref="D264:E264"/>
    <mergeCell ref="H264:I264"/>
    <mergeCell ref="A265:G265"/>
    <mergeCell ref="H265:I265"/>
    <mergeCell ref="A266:I266"/>
    <mergeCell ref="A256:I256"/>
    <mergeCell ref="D257:E257"/>
    <mergeCell ref="H257:I257"/>
    <mergeCell ref="D258:E258"/>
    <mergeCell ref="H258:I258"/>
    <mergeCell ref="A259:G259"/>
    <mergeCell ref="H259:I259"/>
    <mergeCell ref="A260:I260"/>
    <mergeCell ref="A261:H261"/>
    <mergeCell ref="A251:G251"/>
    <mergeCell ref="H251:I251"/>
    <mergeCell ref="A252:I252"/>
    <mergeCell ref="D253:E253"/>
    <mergeCell ref="H253:I253"/>
    <mergeCell ref="D254:E254"/>
    <mergeCell ref="H254:I254"/>
    <mergeCell ref="A255:G255"/>
    <mergeCell ref="H255:I255"/>
    <mergeCell ref="A244:F244"/>
    <mergeCell ref="G244:I244"/>
    <mergeCell ref="A245:I245"/>
    <mergeCell ref="A246:I247"/>
    <mergeCell ref="D248:E248"/>
    <mergeCell ref="H248:I248"/>
    <mergeCell ref="D249:E249"/>
    <mergeCell ref="H249:I249"/>
    <mergeCell ref="D250:E250"/>
    <mergeCell ref="H250:I250"/>
    <mergeCell ref="A240:F240"/>
    <mergeCell ref="G240:I240"/>
    <mergeCell ref="A241:I241"/>
    <mergeCell ref="A242:B242"/>
    <mergeCell ref="C242:D242"/>
    <mergeCell ref="E242:F242"/>
    <mergeCell ref="G242:I242"/>
    <mergeCell ref="A243:B243"/>
    <mergeCell ref="C243:D243"/>
    <mergeCell ref="E243:F243"/>
    <mergeCell ref="G243:I243"/>
    <mergeCell ref="A236:F236"/>
    <mergeCell ref="G236:I236"/>
    <mergeCell ref="A237:I237"/>
    <mergeCell ref="A238:B238"/>
    <mergeCell ref="C238:D238"/>
    <mergeCell ref="E238:F238"/>
    <mergeCell ref="G238:I238"/>
    <mergeCell ref="A239:B239"/>
    <mergeCell ref="C239:D239"/>
    <mergeCell ref="E239:F239"/>
    <mergeCell ref="G239:I239"/>
    <mergeCell ref="A232:F232"/>
    <mergeCell ref="G232:I232"/>
    <mergeCell ref="A233:I233"/>
    <mergeCell ref="A234:B234"/>
    <mergeCell ref="C234:D234"/>
    <mergeCell ref="E234:F234"/>
    <mergeCell ref="G234:I234"/>
    <mergeCell ref="A235:B235"/>
    <mergeCell ref="C235:D235"/>
    <mergeCell ref="E235:F235"/>
    <mergeCell ref="G235:I235"/>
    <mergeCell ref="A228:F228"/>
    <mergeCell ref="G228:I228"/>
    <mergeCell ref="A229:I229"/>
    <mergeCell ref="A230:B230"/>
    <mergeCell ref="C230:D230"/>
    <mergeCell ref="E230:F230"/>
    <mergeCell ref="G230:I230"/>
    <mergeCell ref="A231:B231"/>
    <mergeCell ref="C231:D231"/>
    <mergeCell ref="E231:F231"/>
    <mergeCell ref="G231:I231"/>
    <mergeCell ref="A225:I225"/>
    <mergeCell ref="A226:B226"/>
    <mergeCell ref="C226:D226"/>
    <mergeCell ref="E226:F226"/>
    <mergeCell ref="G226:I226"/>
    <mergeCell ref="A227:B227"/>
    <mergeCell ref="C227:D227"/>
    <mergeCell ref="E227:F227"/>
    <mergeCell ref="G227:I227"/>
    <mergeCell ref="A222:B222"/>
    <mergeCell ref="C222:D222"/>
    <mergeCell ref="E222:F222"/>
    <mergeCell ref="G222:I222"/>
    <mergeCell ref="A223:B223"/>
    <mergeCell ref="C223:D223"/>
    <mergeCell ref="E223:F223"/>
    <mergeCell ref="G223:I223"/>
    <mergeCell ref="A224:F224"/>
    <mergeCell ref="G224:I224"/>
    <mergeCell ref="A217:B217"/>
    <mergeCell ref="C217:D217"/>
    <mergeCell ref="E217:F217"/>
    <mergeCell ref="G217:I217"/>
    <mergeCell ref="A218:F218"/>
    <mergeCell ref="G218:I218"/>
    <mergeCell ref="A219:I219"/>
    <mergeCell ref="A220:I220"/>
    <mergeCell ref="A221:B221"/>
    <mergeCell ref="C221:D221"/>
    <mergeCell ref="E221:F221"/>
    <mergeCell ref="G221:I221"/>
    <mergeCell ref="A213:B213"/>
    <mergeCell ref="C213:D213"/>
    <mergeCell ref="E213:F213"/>
    <mergeCell ref="G213:I213"/>
    <mergeCell ref="A214:F214"/>
    <mergeCell ref="G214:I214"/>
    <mergeCell ref="A215:I215"/>
    <mergeCell ref="A216:B216"/>
    <mergeCell ref="C216:D216"/>
    <mergeCell ref="E216:F216"/>
    <mergeCell ref="G216:I216"/>
    <mergeCell ref="A209:B209"/>
    <mergeCell ref="C209:D209"/>
    <mergeCell ref="E209:F209"/>
    <mergeCell ref="G209:I209"/>
    <mergeCell ref="A210:F210"/>
    <mergeCell ref="G210:I210"/>
    <mergeCell ref="A211:I211"/>
    <mergeCell ref="A212:B212"/>
    <mergeCell ref="C212:D212"/>
    <mergeCell ref="E212:F212"/>
    <mergeCell ref="G212:I212"/>
    <mergeCell ref="A205:B205"/>
    <mergeCell ref="C205:D205"/>
    <mergeCell ref="E205:F205"/>
    <mergeCell ref="G205:I205"/>
    <mergeCell ref="A206:F206"/>
    <mergeCell ref="G206:I206"/>
    <mergeCell ref="A207:I207"/>
    <mergeCell ref="A208:B208"/>
    <mergeCell ref="C208:D208"/>
    <mergeCell ref="E208:F208"/>
    <mergeCell ref="G208:I208"/>
    <mergeCell ref="A201:B201"/>
    <mergeCell ref="C201:D201"/>
    <mergeCell ref="E201:F201"/>
    <mergeCell ref="G201:I201"/>
    <mergeCell ref="A202:F202"/>
    <mergeCell ref="G202:I202"/>
    <mergeCell ref="A203:I203"/>
    <mergeCell ref="A204:B204"/>
    <mergeCell ref="C204:D204"/>
    <mergeCell ref="E204:F204"/>
    <mergeCell ref="G204:I204"/>
    <mergeCell ref="A197:B197"/>
    <mergeCell ref="C197:D197"/>
    <mergeCell ref="E197:F197"/>
    <mergeCell ref="G197:I197"/>
    <mergeCell ref="A198:F198"/>
    <mergeCell ref="G198:I198"/>
    <mergeCell ref="A199:I199"/>
    <mergeCell ref="A200:B200"/>
    <mergeCell ref="C200:D200"/>
    <mergeCell ref="E200:F200"/>
    <mergeCell ref="G200:I200"/>
    <mergeCell ref="A193:I193"/>
    <mergeCell ref="A194:I194"/>
    <mergeCell ref="A195:B195"/>
    <mergeCell ref="C195:D195"/>
    <mergeCell ref="E195:F195"/>
    <mergeCell ref="G195:I195"/>
    <mergeCell ref="A196:B196"/>
    <mergeCell ref="C196:D196"/>
    <mergeCell ref="E196:F196"/>
    <mergeCell ref="G196:I196"/>
    <mergeCell ref="A182:H182"/>
    <mergeCell ref="B183:H183"/>
    <mergeCell ref="B184:H184"/>
    <mergeCell ref="B185:H185"/>
    <mergeCell ref="A186:I186"/>
    <mergeCell ref="A187:I187"/>
    <mergeCell ref="A188:I188"/>
    <mergeCell ref="A190:I190"/>
    <mergeCell ref="A191:I191"/>
    <mergeCell ref="A177:B177"/>
    <mergeCell ref="C177:D177"/>
    <mergeCell ref="F177:G177"/>
    <mergeCell ref="A178:B178"/>
    <mergeCell ref="C178:D178"/>
    <mergeCell ref="F178:G178"/>
    <mergeCell ref="A179:H179"/>
    <mergeCell ref="A180:I180"/>
    <mergeCell ref="A181:I181"/>
    <mergeCell ref="A170:H170"/>
    <mergeCell ref="B171:H171"/>
    <mergeCell ref="A172:H172"/>
    <mergeCell ref="A173:I173"/>
    <mergeCell ref="A174:I174"/>
    <mergeCell ref="A175:B175"/>
    <mergeCell ref="C175:D175"/>
    <mergeCell ref="F175:G175"/>
    <mergeCell ref="A176:B176"/>
    <mergeCell ref="C176:D176"/>
    <mergeCell ref="F176:G176"/>
    <mergeCell ref="A161:I161"/>
    <mergeCell ref="A162:I162"/>
    <mergeCell ref="A163:I163"/>
    <mergeCell ref="A164:I164"/>
    <mergeCell ref="A165:H165"/>
    <mergeCell ref="B166:H166"/>
    <mergeCell ref="B167:H167"/>
    <mergeCell ref="B168:H168"/>
    <mergeCell ref="B169:H169"/>
    <mergeCell ref="B152:G152"/>
    <mergeCell ref="B153:G153"/>
    <mergeCell ref="B154:G154"/>
    <mergeCell ref="A155:H155"/>
    <mergeCell ref="A156:I156"/>
    <mergeCell ref="A157:G157"/>
    <mergeCell ref="A158:B160"/>
    <mergeCell ref="C158:I158"/>
    <mergeCell ref="C159:I159"/>
    <mergeCell ref="C160:I160"/>
    <mergeCell ref="B143:G143"/>
    <mergeCell ref="A144:G144"/>
    <mergeCell ref="B145:G145"/>
    <mergeCell ref="A146:G146"/>
    <mergeCell ref="B147:G147"/>
    <mergeCell ref="B148:G148"/>
    <mergeCell ref="B149:G149"/>
    <mergeCell ref="B150:G150"/>
    <mergeCell ref="B151:G151"/>
    <mergeCell ref="B134:H134"/>
    <mergeCell ref="B135:H135"/>
    <mergeCell ref="B136:H136"/>
    <mergeCell ref="B137:H137"/>
    <mergeCell ref="B138:H138"/>
    <mergeCell ref="A139:H139"/>
    <mergeCell ref="A140:I140"/>
    <mergeCell ref="B141:G141"/>
    <mergeCell ref="A142:G142"/>
    <mergeCell ref="B125:H125"/>
    <mergeCell ref="B126:H126"/>
    <mergeCell ref="B127:H127"/>
    <mergeCell ref="A128:H128"/>
    <mergeCell ref="B129:H129"/>
    <mergeCell ref="A130:H130"/>
    <mergeCell ref="A131:I131"/>
    <mergeCell ref="B132:H132"/>
    <mergeCell ref="B133:H133"/>
    <mergeCell ref="B116:H116"/>
    <mergeCell ref="B117:H117"/>
    <mergeCell ref="B118:H118"/>
    <mergeCell ref="A119:H119"/>
    <mergeCell ref="A120:I120"/>
    <mergeCell ref="B121:H121"/>
    <mergeCell ref="B122:H122"/>
    <mergeCell ref="B123:H123"/>
    <mergeCell ref="B124:H124"/>
    <mergeCell ref="B107:H107"/>
    <mergeCell ref="B108:H108"/>
    <mergeCell ref="B109:H109"/>
    <mergeCell ref="A110:H110"/>
    <mergeCell ref="A111:I111"/>
    <mergeCell ref="B112:H112"/>
    <mergeCell ref="B113:H113"/>
    <mergeCell ref="B114:H114"/>
    <mergeCell ref="B115:H115"/>
    <mergeCell ref="A98:I98"/>
    <mergeCell ref="A99:I99"/>
    <mergeCell ref="B100:H100"/>
    <mergeCell ref="B101:H101"/>
    <mergeCell ref="A102:H102"/>
    <mergeCell ref="B103:H103"/>
    <mergeCell ref="A104:H104"/>
    <mergeCell ref="A105:I105"/>
    <mergeCell ref="A106:I106"/>
    <mergeCell ref="B88:G88"/>
    <mergeCell ref="B89:G89"/>
    <mergeCell ref="B90:G90"/>
    <mergeCell ref="B91:G91"/>
    <mergeCell ref="B92:G92"/>
    <mergeCell ref="B93:C93"/>
    <mergeCell ref="B94:G94"/>
    <mergeCell ref="A95:G95"/>
    <mergeCell ref="A97:I97"/>
    <mergeCell ref="B78:H78"/>
    <mergeCell ref="B79:H79"/>
    <mergeCell ref="B80:H80"/>
    <mergeCell ref="A81:H81"/>
    <mergeCell ref="A82:I82"/>
    <mergeCell ref="A83:I83"/>
    <mergeCell ref="A85:I85"/>
    <mergeCell ref="B86:G86"/>
    <mergeCell ref="B87:G87"/>
    <mergeCell ref="B69:H69"/>
    <mergeCell ref="B70:H70"/>
    <mergeCell ref="B71:H71"/>
    <mergeCell ref="A72:I72"/>
    <mergeCell ref="A73:I73"/>
    <mergeCell ref="A74:I74"/>
    <mergeCell ref="A75:I75"/>
    <mergeCell ref="B76:H76"/>
    <mergeCell ref="B77:H77"/>
    <mergeCell ref="B60:H60"/>
    <mergeCell ref="B61:H61"/>
    <mergeCell ref="B62:G62"/>
    <mergeCell ref="B63:G63"/>
    <mergeCell ref="B64:H64"/>
    <mergeCell ref="B65:G65"/>
    <mergeCell ref="B66:H66"/>
    <mergeCell ref="B67:H67"/>
    <mergeCell ref="B68:H68"/>
    <mergeCell ref="A51:I51"/>
    <mergeCell ref="A52:I52"/>
    <mergeCell ref="A53:I53"/>
    <mergeCell ref="A54:I54"/>
    <mergeCell ref="B55:G55"/>
    <mergeCell ref="B56:H56"/>
    <mergeCell ref="B57:G57"/>
    <mergeCell ref="A58:H58"/>
    <mergeCell ref="A59:I59"/>
    <mergeCell ref="A46:I46"/>
    <mergeCell ref="B47:G47"/>
    <mergeCell ref="H47:I47"/>
    <mergeCell ref="B48:D48"/>
    <mergeCell ref="E48:F48"/>
    <mergeCell ref="H48:I48"/>
    <mergeCell ref="B49:G49"/>
    <mergeCell ref="H49:I49"/>
    <mergeCell ref="B50:G50"/>
    <mergeCell ref="H50:I50"/>
    <mergeCell ref="A39:G39"/>
    <mergeCell ref="H39:I39"/>
    <mergeCell ref="A40:I40"/>
    <mergeCell ref="A41:G41"/>
    <mergeCell ref="H41:I41"/>
    <mergeCell ref="A42:I42"/>
    <mergeCell ref="A43:I43"/>
    <mergeCell ref="A44:I44"/>
    <mergeCell ref="A45:I45"/>
    <mergeCell ref="A35:E35"/>
    <mergeCell ref="F35:G35"/>
    <mergeCell ref="H35:I35"/>
    <mergeCell ref="A36:G36"/>
    <mergeCell ref="H36:I36"/>
    <mergeCell ref="A37:I37"/>
    <mergeCell ref="A38:E38"/>
    <mergeCell ref="F38:G38"/>
    <mergeCell ref="H38:I38"/>
    <mergeCell ref="A31:E31"/>
    <mergeCell ref="F31:G31"/>
    <mergeCell ref="H31:I31"/>
    <mergeCell ref="A32:E32"/>
    <mergeCell ref="F32:G32"/>
    <mergeCell ref="H32:I32"/>
    <mergeCell ref="A33:G33"/>
    <mergeCell ref="H33:I33"/>
    <mergeCell ref="A34:I34"/>
    <mergeCell ref="A27:E27"/>
    <mergeCell ref="F27:G27"/>
    <mergeCell ref="H27:I27"/>
    <mergeCell ref="A28:G28"/>
    <mergeCell ref="H28:I28"/>
    <mergeCell ref="A29:I29"/>
    <mergeCell ref="A30:E30"/>
    <mergeCell ref="F30:G30"/>
    <mergeCell ref="H30:I30"/>
    <mergeCell ref="A24:E24"/>
    <mergeCell ref="F24:G24"/>
    <mergeCell ref="H24:I24"/>
    <mergeCell ref="A25:E25"/>
    <mergeCell ref="F25:G25"/>
    <mergeCell ref="H25:I25"/>
    <mergeCell ref="A26:E26"/>
    <mergeCell ref="F26:G26"/>
    <mergeCell ref="H26:I26"/>
    <mergeCell ref="A20:G20"/>
    <mergeCell ref="H20:I20"/>
    <mergeCell ref="A21:I21"/>
    <mergeCell ref="A22:E22"/>
    <mergeCell ref="F22:G22"/>
    <mergeCell ref="H22:I22"/>
    <mergeCell ref="A23:E23"/>
    <mergeCell ref="F23:G23"/>
    <mergeCell ref="H23:I23"/>
    <mergeCell ref="A17:E17"/>
    <mergeCell ref="F17:G17"/>
    <mergeCell ref="H17:I17"/>
    <mergeCell ref="A18:E18"/>
    <mergeCell ref="F18:G18"/>
    <mergeCell ref="H18:I18"/>
    <mergeCell ref="A19:E19"/>
    <mergeCell ref="F19:G19"/>
    <mergeCell ref="H19:I19"/>
    <mergeCell ref="A14:E14"/>
    <mergeCell ref="F14:G14"/>
    <mergeCell ref="H14:I14"/>
    <mergeCell ref="A15:E15"/>
    <mergeCell ref="F15:G15"/>
    <mergeCell ref="H15:I15"/>
    <mergeCell ref="A16:E16"/>
    <mergeCell ref="F16:G16"/>
    <mergeCell ref="H16:I16"/>
    <mergeCell ref="B9:G9"/>
    <mergeCell ref="H9:I9"/>
    <mergeCell ref="B10:G10"/>
    <mergeCell ref="H10:I10"/>
    <mergeCell ref="B11:G11"/>
    <mergeCell ref="H11:I11"/>
    <mergeCell ref="A12:I12"/>
    <mergeCell ref="A13:E13"/>
    <mergeCell ref="F13:G13"/>
    <mergeCell ref="H13:I13"/>
    <mergeCell ref="A2:I2"/>
    <mergeCell ref="A3:I3"/>
    <mergeCell ref="A4:E4"/>
    <mergeCell ref="F4:I4"/>
    <mergeCell ref="A5:E5"/>
    <mergeCell ref="F5:I5"/>
    <mergeCell ref="A6:I6"/>
    <mergeCell ref="A7:I7"/>
    <mergeCell ref="B8:G8"/>
    <mergeCell ref="H8:I8"/>
  </mergeCells>
  <pageMargins left="0.78740157499999996" right="0.78740157499999996" top="0.984251969" bottom="0.984251969" header="0.49212598499999999" footer="0.49212598499999999"/>
  <pageSetup paperSize="9" scale="73" orientation="portrait" horizontalDpi="1200" r:id="rId1"/>
  <headerFooter alignWithMargins="0"/>
  <rowBreaks count="2" manualBreakCount="2">
    <brk id="61" max="8" man="1"/>
    <brk id="119" max="16383" man="1"/>
  </rowBreaks>
</worksheet>
</file>

<file path=xl/worksheets/sheet9.xml><?xml version="1.0" encoding="utf-8"?>
<worksheet xmlns="http://schemas.openxmlformats.org/spreadsheetml/2006/main" xmlns:r="http://schemas.openxmlformats.org/officeDocument/2006/relationships">
  <sheetPr>
    <tabColor rgb="FFFF0000"/>
  </sheetPr>
  <dimension ref="A2:O325"/>
  <sheetViews>
    <sheetView topLeftCell="A40" zoomScaleNormal="100" zoomScaleSheetLayoutView="130" workbookViewId="0">
      <selection activeCell="H10" sqref="H10:I10"/>
    </sheetView>
  </sheetViews>
  <sheetFormatPr defaultRowHeight="12.75"/>
  <cols>
    <col min="1" max="1" width="15.28515625" style="1" customWidth="1"/>
    <col min="2" max="2" width="11.140625" style="1" customWidth="1"/>
    <col min="3" max="3" width="13.28515625" style="1" customWidth="1"/>
    <col min="4" max="4" width="16.140625" style="1" customWidth="1"/>
    <col min="5" max="5" width="12.42578125" style="1" customWidth="1"/>
    <col min="6" max="6" width="11.28515625" style="1" customWidth="1"/>
    <col min="7" max="7" width="11.42578125" style="1" customWidth="1"/>
    <col min="8" max="8" width="12.42578125" style="1" customWidth="1"/>
    <col min="9" max="9" width="14.85546875" style="213" customWidth="1"/>
  </cols>
  <sheetData>
    <row r="2" spans="1:9" ht="23.25">
      <c r="A2" s="483" t="s">
        <v>442</v>
      </c>
      <c r="B2" s="483"/>
      <c r="C2" s="483"/>
      <c r="D2" s="483"/>
      <c r="E2" s="483"/>
      <c r="F2" s="483"/>
      <c r="G2" s="483"/>
      <c r="H2" s="483"/>
      <c r="I2" s="483"/>
    </row>
    <row r="3" spans="1:9" ht="59.25" customHeight="1">
      <c r="A3" s="489" t="s">
        <v>473</v>
      </c>
      <c r="B3" s="489"/>
      <c r="C3" s="489"/>
      <c r="D3" s="489"/>
      <c r="E3" s="489"/>
      <c r="F3" s="489"/>
      <c r="G3" s="489"/>
      <c r="H3" s="489"/>
      <c r="I3" s="489"/>
    </row>
    <row r="4" spans="1:9">
      <c r="A4" s="1082" t="s">
        <v>296</v>
      </c>
      <c r="B4" s="1082"/>
      <c r="C4" s="1082"/>
      <c r="D4" s="1082"/>
      <c r="E4" s="1082"/>
      <c r="F4" s="1149" t="s">
        <v>466</v>
      </c>
      <c r="G4" s="1149"/>
      <c r="H4" s="1149"/>
      <c r="I4" s="1149"/>
    </row>
    <row r="5" spans="1:9">
      <c r="A5" s="1082" t="s">
        <v>297</v>
      </c>
      <c r="B5" s="1082"/>
      <c r="C5" s="1082"/>
      <c r="D5" s="1082"/>
      <c r="E5" s="1082"/>
      <c r="F5" s="1149" t="s">
        <v>467</v>
      </c>
      <c r="G5" s="1149"/>
      <c r="H5" s="1149"/>
      <c r="I5" s="1149"/>
    </row>
    <row r="6" spans="1:9">
      <c r="A6" s="1082" t="s">
        <v>468</v>
      </c>
      <c r="B6" s="1082"/>
      <c r="C6" s="1082"/>
      <c r="D6" s="1082"/>
      <c r="E6" s="1082"/>
      <c r="F6" s="1082"/>
      <c r="G6" s="1082"/>
      <c r="H6" s="1082"/>
      <c r="I6" s="1082"/>
    </row>
    <row r="7" spans="1:9" ht="15">
      <c r="A7" s="1150" t="s">
        <v>258</v>
      </c>
      <c r="B7" s="1150"/>
      <c r="C7" s="1150"/>
      <c r="D7" s="1150"/>
      <c r="E7" s="1150"/>
      <c r="F7" s="1150"/>
      <c r="G7" s="1150"/>
      <c r="H7" s="1150"/>
      <c r="I7" s="1150"/>
    </row>
    <row r="8" spans="1:9">
      <c r="A8" s="127" t="s">
        <v>259</v>
      </c>
      <c r="B8" s="1082" t="s">
        <v>260</v>
      </c>
      <c r="C8" s="1082"/>
      <c r="D8" s="1082"/>
      <c r="E8" s="1082"/>
      <c r="F8" s="1082"/>
      <c r="G8" s="1082"/>
      <c r="H8" s="1148">
        <v>42735</v>
      </c>
      <c r="I8" s="1148"/>
    </row>
    <row r="9" spans="1:9">
      <c r="A9" s="127" t="s">
        <v>261</v>
      </c>
      <c r="B9" s="1082" t="s">
        <v>262</v>
      </c>
      <c r="C9" s="1082"/>
      <c r="D9" s="1082"/>
      <c r="E9" s="1082"/>
      <c r="F9" s="1082"/>
      <c r="G9" s="1082"/>
      <c r="H9" s="1149" t="s">
        <v>469</v>
      </c>
      <c r="I9" s="1149"/>
    </row>
    <row r="10" spans="1:9" ht="38.25" customHeight="1">
      <c r="A10" s="127" t="s">
        <v>263</v>
      </c>
      <c r="B10" s="1082" t="s">
        <v>352</v>
      </c>
      <c r="C10" s="1082"/>
      <c r="D10" s="1082"/>
      <c r="E10" s="1082"/>
      <c r="F10" s="1082"/>
      <c r="G10" s="1082"/>
      <c r="H10" s="1149" t="s">
        <v>472</v>
      </c>
      <c r="I10" s="1149"/>
    </row>
    <row r="11" spans="1:9">
      <c r="A11" s="127" t="s">
        <v>264</v>
      </c>
      <c r="B11" s="1082" t="s">
        <v>265</v>
      </c>
      <c r="C11" s="1082"/>
      <c r="D11" s="1082"/>
      <c r="E11" s="1082"/>
      <c r="F11" s="1082"/>
      <c r="G11" s="1082"/>
      <c r="H11" s="1149">
        <v>12</v>
      </c>
      <c r="I11" s="1149"/>
    </row>
    <row r="12" spans="1:9" ht="15">
      <c r="A12" s="1135" t="s">
        <v>443</v>
      </c>
      <c r="B12" s="1135"/>
      <c r="C12" s="1135"/>
      <c r="D12" s="1135"/>
      <c r="E12" s="1135"/>
      <c r="F12" s="1135"/>
      <c r="G12" s="1135"/>
      <c r="H12" s="1135"/>
      <c r="I12" s="1135"/>
    </row>
    <row r="13" spans="1:9">
      <c r="A13" s="1136" t="s">
        <v>444</v>
      </c>
      <c r="B13" s="1136"/>
      <c r="C13" s="1136"/>
      <c r="D13" s="1136"/>
      <c r="E13" s="1136"/>
      <c r="F13" s="904" t="s">
        <v>445</v>
      </c>
      <c r="G13" s="904"/>
      <c r="H13" s="1137" t="s">
        <v>267</v>
      </c>
      <c r="I13" s="1137"/>
    </row>
    <row r="14" spans="1:9">
      <c r="A14" s="1130" t="s">
        <v>167</v>
      </c>
      <c r="B14" s="1130"/>
      <c r="C14" s="1130"/>
      <c r="D14" s="1130"/>
      <c r="E14" s="1130"/>
      <c r="F14" s="1129" t="s">
        <v>268</v>
      </c>
      <c r="G14" s="1129"/>
      <c r="H14" s="1134">
        <v>0</v>
      </c>
      <c r="I14" s="1134"/>
    </row>
    <row r="15" spans="1:9">
      <c r="A15" s="1130" t="s">
        <v>168</v>
      </c>
      <c r="B15" s="1130"/>
      <c r="C15" s="1130"/>
      <c r="D15" s="1130"/>
      <c r="E15" s="1130"/>
      <c r="F15" s="1129" t="s">
        <v>268</v>
      </c>
      <c r="G15" s="1129"/>
      <c r="H15" s="1134">
        <f>978.93-600</f>
        <v>378.92999999999995</v>
      </c>
      <c r="I15" s="1134"/>
    </row>
    <row r="16" spans="1:9">
      <c r="A16" s="1130" t="s">
        <v>169</v>
      </c>
      <c r="B16" s="1130"/>
      <c r="C16" s="1130"/>
      <c r="D16" s="1130"/>
      <c r="E16" s="1130"/>
      <c r="F16" s="1129" t="s">
        <v>268</v>
      </c>
      <c r="G16" s="1129"/>
      <c r="H16" s="1134">
        <v>0</v>
      </c>
      <c r="I16" s="1134"/>
    </row>
    <row r="17" spans="1:9">
      <c r="A17" s="1130" t="s">
        <v>170</v>
      </c>
      <c r="B17" s="1130"/>
      <c r="C17" s="1130"/>
      <c r="D17" s="1130"/>
      <c r="E17" s="1130"/>
      <c r="F17" s="1129" t="s">
        <v>268</v>
      </c>
      <c r="G17" s="1129"/>
      <c r="H17" s="1134">
        <v>66.02</v>
      </c>
      <c r="I17" s="1134"/>
    </row>
    <row r="18" spans="1:9">
      <c r="A18" s="1130" t="s">
        <v>171</v>
      </c>
      <c r="B18" s="1130"/>
      <c r="C18" s="1130"/>
      <c r="D18" s="1130"/>
      <c r="E18" s="1130"/>
      <c r="F18" s="1129" t="s">
        <v>268</v>
      </c>
      <c r="G18" s="1129"/>
      <c r="H18" s="1134">
        <v>0</v>
      </c>
      <c r="I18" s="1134"/>
    </row>
    <row r="19" spans="1:9">
      <c r="A19" s="1130" t="s">
        <v>172</v>
      </c>
      <c r="B19" s="1130"/>
      <c r="C19" s="1130"/>
      <c r="D19" s="1130"/>
      <c r="E19" s="1130"/>
      <c r="F19" s="1129" t="s">
        <v>268</v>
      </c>
      <c r="G19" s="1129"/>
      <c r="H19" s="1134">
        <v>522.54999999999995</v>
      </c>
      <c r="I19" s="1134"/>
    </row>
    <row r="20" spans="1:9">
      <c r="A20" s="1122" t="s">
        <v>173</v>
      </c>
      <c r="B20" s="1122"/>
      <c r="C20" s="1122"/>
      <c r="D20" s="1122"/>
      <c r="E20" s="1122"/>
      <c r="F20" s="1122"/>
      <c r="G20" s="1122"/>
      <c r="H20" s="923">
        <f>ROUND(H14+H15+H16+H17+H18+H19,2)</f>
        <v>967.5</v>
      </c>
      <c r="I20" s="923"/>
    </row>
    <row r="21" spans="1:9">
      <c r="A21" s="1097"/>
      <c r="B21" s="1097"/>
      <c r="C21" s="1097"/>
      <c r="D21" s="1097"/>
      <c r="E21" s="1097"/>
      <c r="F21" s="1097"/>
      <c r="G21" s="1097"/>
      <c r="H21" s="1097"/>
      <c r="I21" s="1097"/>
    </row>
    <row r="22" spans="1:9">
      <c r="A22" s="1130" t="s">
        <v>174</v>
      </c>
      <c r="B22" s="1130"/>
      <c r="C22" s="1130"/>
      <c r="D22" s="1130"/>
      <c r="E22" s="1130"/>
      <c r="F22" s="1129" t="s">
        <v>268</v>
      </c>
      <c r="G22" s="1129"/>
      <c r="H22" s="926">
        <v>273.44</v>
      </c>
      <c r="I22" s="926"/>
    </row>
    <row r="23" spans="1:9">
      <c r="A23" s="1130" t="s">
        <v>175</v>
      </c>
      <c r="B23" s="1130"/>
      <c r="C23" s="1130"/>
      <c r="D23" s="1130"/>
      <c r="E23" s="1130"/>
      <c r="F23" s="1126" t="s">
        <v>268</v>
      </c>
      <c r="G23" s="1126"/>
      <c r="H23" s="926">
        <v>1326.72</v>
      </c>
      <c r="I23" s="926"/>
    </row>
    <row r="24" spans="1:9">
      <c r="A24" s="1130" t="s">
        <v>176</v>
      </c>
      <c r="B24" s="1130"/>
      <c r="C24" s="1130"/>
      <c r="D24" s="1130"/>
      <c r="E24" s="1130"/>
      <c r="F24" s="1129" t="s">
        <v>268</v>
      </c>
      <c r="G24" s="1129"/>
      <c r="H24" s="926">
        <v>0</v>
      </c>
      <c r="I24" s="926"/>
    </row>
    <row r="25" spans="1:9">
      <c r="A25" s="1130" t="s">
        <v>177</v>
      </c>
      <c r="B25" s="1130"/>
      <c r="C25" s="1130"/>
      <c r="D25" s="1130"/>
      <c r="E25" s="1130"/>
      <c r="F25" s="1126" t="s">
        <v>268</v>
      </c>
      <c r="G25" s="1126"/>
      <c r="H25" s="926">
        <v>0</v>
      </c>
      <c r="I25" s="926"/>
    </row>
    <row r="26" spans="1:9">
      <c r="A26" s="1130" t="s">
        <v>178</v>
      </c>
      <c r="B26" s="1130"/>
      <c r="C26" s="1130"/>
      <c r="D26" s="1130"/>
      <c r="E26" s="1130"/>
      <c r="F26" s="1126" t="s">
        <v>268</v>
      </c>
      <c r="G26" s="1126"/>
      <c r="H26" s="926">
        <v>0</v>
      </c>
      <c r="I26" s="926"/>
    </row>
    <row r="27" spans="1:9" ht="24.75" customHeight="1">
      <c r="A27" s="1130" t="s">
        <v>179</v>
      </c>
      <c r="B27" s="1130"/>
      <c r="C27" s="1130"/>
      <c r="D27" s="1130"/>
      <c r="E27" s="1130"/>
      <c r="F27" s="1129" t="s">
        <v>268</v>
      </c>
      <c r="G27" s="1129"/>
      <c r="H27" s="926">
        <v>0</v>
      </c>
      <c r="I27" s="926"/>
    </row>
    <row r="28" spans="1:9">
      <c r="A28" s="1122" t="s">
        <v>180</v>
      </c>
      <c r="B28" s="1122"/>
      <c r="C28" s="1122"/>
      <c r="D28" s="1122"/>
      <c r="E28" s="1122"/>
      <c r="F28" s="1122"/>
      <c r="G28" s="1122"/>
      <c r="H28" s="923">
        <f>ROUND(H22+H23+H24+H25+H26+H27,2)</f>
        <v>1600.16</v>
      </c>
      <c r="I28" s="923"/>
    </row>
    <row r="29" spans="1:9">
      <c r="A29" s="1097"/>
      <c r="B29" s="1097"/>
      <c r="C29" s="1097"/>
      <c r="D29" s="1097"/>
      <c r="E29" s="1097"/>
      <c r="F29" s="1097"/>
      <c r="G29" s="1097"/>
      <c r="H29" s="1097"/>
      <c r="I29" s="1097"/>
    </row>
    <row r="30" spans="1:9">
      <c r="A30" s="1130" t="s">
        <v>181</v>
      </c>
      <c r="B30" s="1130"/>
      <c r="C30" s="1130"/>
      <c r="D30" s="1130"/>
      <c r="E30" s="1130"/>
      <c r="F30" s="1129" t="s">
        <v>268</v>
      </c>
      <c r="G30" s="1129"/>
      <c r="H30" s="926">
        <v>161.56</v>
      </c>
      <c r="I30" s="926"/>
    </row>
    <row r="31" spans="1:9">
      <c r="A31" s="1130" t="s">
        <v>182</v>
      </c>
      <c r="B31" s="1130"/>
      <c r="C31" s="1130"/>
      <c r="D31" s="1130"/>
      <c r="E31" s="1130"/>
      <c r="F31" s="1129" t="s">
        <v>268</v>
      </c>
      <c r="G31" s="1129"/>
      <c r="H31" s="926">
        <v>177.82</v>
      </c>
      <c r="I31" s="926"/>
    </row>
    <row r="32" spans="1:9">
      <c r="A32" s="1130" t="s">
        <v>183</v>
      </c>
      <c r="B32" s="1130"/>
      <c r="C32" s="1130"/>
      <c r="D32" s="1130"/>
      <c r="E32" s="1130"/>
      <c r="F32" s="1129" t="s">
        <v>268</v>
      </c>
      <c r="G32" s="1129"/>
      <c r="H32" s="926">
        <v>655.9</v>
      </c>
      <c r="I32" s="926"/>
    </row>
    <row r="33" spans="1:9">
      <c r="A33" s="1128" t="s">
        <v>216</v>
      </c>
      <c r="B33" s="1128"/>
      <c r="C33" s="1128"/>
      <c r="D33" s="1128"/>
      <c r="E33" s="1128"/>
      <c r="F33" s="1128"/>
      <c r="G33" s="1128"/>
      <c r="H33" s="923">
        <f>ROUND(H30+H31+H32,2)</f>
        <v>995.28</v>
      </c>
      <c r="I33" s="923"/>
    </row>
    <row r="34" spans="1:9">
      <c r="A34" s="1121"/>
      <c r="B34" s="1121"/>
      <c r="C34" s="1121"/>
      <c r="D34" s="1121"/>
      <c r="E34" s="1121"/>
      <c r="F34" s="1121"/>
      <c r="G34" s="1121"/>
      <c r="H34" s="1121"/>
      <c r="I34" s="1121"/>
    </row>
    <row r="35" spans="1:9">
      <c r="A35" s="1125" t="s">
        <v>214</v>
      </c>
      <c r="B35" s="1125"/>
      <c r="C35" s="1125"/>
      <c r="D35" s="1125"/>
      <c r="E35" s="1125"/>
      <c r="F35" s="1129" t="s">
        <v>268</v>
      </c>
      <c r="G35" s="1129"/>
      <c r="H35" s="926">
        <v>0</v>
      </c>
      <c r="I35" s="926"/>
    </row>
    <row r="36" spans="1:9">
      <c r="A36" s="1124" t="s">
        <v>215</v>
      </c>
      <c r="B36" s="1124"/>
      <c r="C36" s="1124"/>
      <c r="D36" s="1124"/>
      <c r="E36" s="1124"/>
      <c r="F36" s="1124"/>
      <c r="G36" s="1124"/>
      <c r="H36" s="923">
        <f>H35</f>
        <v>0</v>
      </c>
      <c r="I36" s="923"/>
    </row>
    <row r="37" spans="1:9">
      <c r="A37" s="1114"/>
      <c r="B37" s="1114"/>
      <c r="C37" s="1114"/>
      <c r="D37" s="1114"/>
      <c r="E37" s="1114"/>
      <c r="F37" s="1114"/>
      <c r="G37" s="1114"/>
      <c r="H37" s="1114"/>
      <c r="I37" s="1114"/>
    </row>
    <row r="38" spans="1:9">
      <c r="A38" s="1125" t="s">
        <v>184</v>
      </c>
      <c r="B38" s="1125"/>
      <c r="C38" s="1125"/>
      <c r="D38" s="1125"/>
      <c r="E38" s="1125"/>
      <c r="F38" s="1126" t="s">
        <v>268</v>
      </c>
      <c r="G38" s="1126"/>
      <c r="H38" s="1127">
        <v>0</v>
      </c>
      <c r="I38" s="1127"/>
    </row>
    <row r="39" spans="1:9">
      <c r="A39" s="1165" t="s">
        <v>446</v>
      </c>
      <c r="B39" s="1165"/>
      <c r="C39" s="1165"/>
      <c r="D39" s="1165"/>
      <c r="E39" s="1165"/>
      <c r="F39" s="1165"/>
      <c r="G39" s="1165"/>
      <c r="H39" s="1166">
        <v>0</v>
      </c>
      <c r="I39" s="1166"/>
    </row>
    <row r="40" spans="1:9">
      <c r="A40" s="1121"/>
      <c r="B40" s="1121"/>
      <c r="C40" s="1121"/>
      <c r="D40" s="1121"/>
      <c r="E40" s="1121"/>
      <c r="F40" s="1121"/>
      <c r="G40" s="1121"/>
      <c r="H40" s="1121"/>
      <c r="I40" s="1121"/>
    </row>
    <row r="41" spans="1:9">
      <c r="A41" s="1122" t="s">
        <v>269</v>
      </c>
      <c r="B41" s="1122"/>
      <c r="C41" s="1122"/>
      <c r="D41" s="1122"/>
      <c r="E41" s="1122"/>
      <c r="F41" s="1122"/>
      <c r="G41" s="1122"/>
      <c r="H41" s="1123">
        <f>ROUND(H20+H28+H33+H36+H39,2)</f>
        <v>3562.94</v>
      </c>
      <c r="I41" s="1123"/>
    </row>
    <row r="42" spans="1:9">
      <c r="A42" s="1099"/>
      <c r="B42" s="1099"/>
      <c r="C42" s="1099"/>
      <c r="D42" s="1099"/>
      <c r="E42" s="1099"/>
      <c r="F42" s="1099"/>
      <c r="G42" s="1099"/>
      <c r="H42" s="1099"/>
      <c r="I42" s="1099"/>
    </row>
    <row r="43" spans="1:9">
      <c r="A43" s="1120" t="s">
        <v>354</v>
      </c>
      <c r="B43" s="1120"/>
      <c r="C43" s="1120"/>
      <c r="D43" s="1120"/>
      <c r="E43" s="1120"/>
      <c r="F43" s="1120"/>
      <c r="G43" s="1120"/>
      <c r="H43" s="1120"/>
      <c r="I43" s="1120"/>
    </row>
    <row r="44" spans="1:9">
      <c r="A44" s="1099"/>
      <c r="B44" s="1099"/>
      <c r="C44" s="1099"/>
      <c r="D44" s="1099"/>
      <c r="E44" s="1099"/>
      <c r="F44" s="1099"/>
      <c r="G44" s="1099"/>
      <c r="H44" s="1099"/>
      <c r="I44" s="1099"/>
    </row>
    <row r="45" spans="1:9" ht="15">
      <c r="A45" s="1089" t="s">
        <v>447</v>
      </c>
      <c r="B45" s="1089"/>
      <c r="C45" s="1089"/>
      <c r="D45" s="1089"/>
      <c r="E45" s="1089"/>
      <c r="F45" s="1089"/>
      <c r="G45" s="1089"/>
      <c r="H45" s="1089"/>
      <c r="I45" s="1089"/>
    </row>
    <row r="46" spans="1:9" ht="15">
      <c r="A46" s="1083" t="s">
        <v>161</v>
      </c>
      <c r="B46" s="1083"/>
      <c r="C46" s="1083"/>
      <c r="D46" s="1083"/>
      <c r="E46" s="1083"/>
      <c r="F46" s="1083"/>
      <c r="G46" s="1083"/>
      <c r="H46" s="1083"/>
      <c r="I46" s="1083"/>
    </row>
    <row r="47" spans="1:9">
      <c r="A47" s="127">
        <v>1</v>
      </c>
      <c r="B47" s="1082" t="s">
        <v>270</v>
      </c>
      <c r="C47" s="1082"/>
      <c r="D47" s="1082"/>
      <c r="E47" s="1082"/>
      <c r="F47" s="1082"/>
      <c r="G47" s="1082"/>
      <c r="H47" s="1118" t="s">
        <v>271</v>
      </c>
      <c r="I47" s="1118"/>
    </row>
    <row r="48" spans="1:9" ht="12.75" customHeight="1">
      <c r="A48" s="127">
        <v>2</v>
      </c>
      <c r="B48" s="1107" t="s">
        <v>464</v>
      </c>
      <c r="C48" s="1064"/>
      <c r="D48" s="1064"/>
      <c r="E48" s="1119" t="s">
        <v>465</v>
      </c>
      <c r="F48" s="1119"/>
      <c r="G48" s="218">
        <v>44</v>
      </c>
      <c r="H48" s="1118">
        <v>926.27</v>
      </c>
      <c r="I48" s="1118"/>
    </row>
    <row r="49" spans="1:11" ht="15">
      <c r="A49" s="127">
        <v>3</v>
      </c>
      <c r="B49" s="1082" t="s">
        <v>448</v>
      </c>
      <c r="C49" s="1082"/>
      <c r="D49" s="1082"/>
      <c r="E49" s="1082"/>
      <c r="F49" s="1082"/>
      <c r="G49" s="1082"/>
      <c r="H49" s="1116" t="s">
        <v>340</v>
      </c>
      <c r="I49" s="1116"/>
      <c r="K49" s="217"/>
    </row>
    <row r="50" spans="1:11">
      <c r="A50" s="127">
        <v>4</v>
      </c>
      <c r="B50" s="1082" t="s">
        <v>125</v>
      </c>
      <c r="C50" s="1082"/>
      <c r="D50" s="1082"/>
      <c r="E50" s="1082"/>
      <c r="F50" s="1082"/>
      <c r="G50" s="1082"/>
      <c r="H50" s="1117" t="s">
        <v>474</v>
      </c>
      <c r="I50" s="1117"/>
    </row>
    <row r="51" spans="1:11">
      <c r="A51" s="1114"/>
      <c r="B51" s="1114"/>
      <c r="C51" s="1114"/>
      <c r="D51" s="1114"/>
      <c r="E51" s="1114"/>
      <c r="F51" s="1114"/>
      <c r="G51" s="1114"/>
      <c r="H51" s="1114"/>
      <c r="I51" s="1114"/>
    </row>
    <row r="52" spans="1:11">
      <c r="A52" s="1102" t="s">
        <v>449</v>
      </c>
      <c r="B52" s="1102"/>
      <c r="C52" s="1102"/>
      <c r="D52" s="1102"/>
      <c r="E52" s="1102"/>
      <c r="F52" s="1102"/>
      <c r="G52" s="1102"/>
      <c r="H52" s="1102"/>
      <c r="I52" s="1102"/>
    </row>
    <row r="53" spans="1:11">
      <c r="A53" s="1115"/>
      <c r="B53" s="1115"/>
      <c r="C53" s="1115"/>
      <c r="D53" s="1115"/>
      <c r="E53" s="1115"/>
      <c r="F53" s="1115"/>
      <c r="G53" s="1115"/>
      <c r="H53" s="1115"/>
      <c r="I53" s="1115"/>
    </row>
    <row r="54" spans="1:11">
      <c r="A54" s="1103" t="s">
        <v>298</v>
      </c>
      <c r="B54" s="1103"/>
      <c r="C54" s="1103"/>
      <c r="D54" s="1103"/>
      <c r="E54" s="1103"/>
      <c r="F54" s="1103"/>
      <c r="G54" s="1103"/>
      <c r="H54" s="1103"/>
      <c r="I54" s="1103"/>
    </row>
    <row r="55" spans="1:11" ht="25.5">
      <c r="A55" s="131">
        <v>1</v>
      </c>
      <c r="B55" s="1112" t="s">
        <v>355</v>
      </c>
      <c r="C55" s="1112"/>
      <c r="D55" s="1112"/>
      <c r="E55" s="1112"/>
      <c r="F55" s="1112"/>
      <c r="G55" s="1112"/>
      <c r="H55" s="132" t="s">
        <v>363</v>
      </c>
      <c r="I55" s="131" t="s">
        <v>450</v>
      </c>
    </row>
    <row r="56" spans="1:11">
      <c r="A56" s="127" t="s">
        <v>259</v>
      </c>
      <c r="B56" s="1082" t="s">
        <v>451</v>
      </c>
      <c r="C56" s="1082"/>
      <c r="D56" s="1082"/>
      <c r="E56" s="1082"/>
      <c r="F56" s="1082"/>
      <c r="G56" s="1082"/>
      <c r="H56" s="1082"/>
      <c r="I56" s="133">
        <f>ROUND(((G48/6)*30)*(H48/220),2)</f>
        <v>926.27</v>
      </c>
    </row>
    <row r="57" spans="1:11">
      <c r="A57" s="127" t="s">
        <v>263</v>
      </c>
      <c r="B57" s="1113" t="s">
        <v>475</v>
      </c>
      <c r="C57" s="1113"/>
      <c r="D57" s="1113"/>
      <c r="E57" s="1113"/>
      <c r="F57" s="1113"/>
      <c r="G57" s="1113"/>
      <c r="H57" s="134">
        <v>0.2</v>
      </c>
      <c r="I57" s="133">
        <f>ROUND(H57*I56,2)</f>
        <v>185.25</v>
      </c>
    </row>
    <row r="58" spans="1:11" ht="15">
      <c r="A58" s="1111" t="s">
        <v>452</v>
      </c>
      <c r="B58" s="1111"/>
      <c r="C58" s="1111"/>
      <c r="D58" s="1111"/>
      <c r="E58" s="1111"/>
      <c r="F58" s="1111"/>
      <c r="G58" s="1111"/>
      <c r="H58" s="1111"/>
      <c r="I58" s="135">
        <f>SUM(I56:I57)</f>
        <v>1111.52</v>
      </c>
    </row>
    <row r="59" spans="1:11">
      <c r="A59" s="1080" t="s">
        <v>276</v>
      </c>
      <c r="B59" s="1080"/>
      <c r="C59" s="1080"/>
      <c r="D59" s="1080"/>
      <c r="E59" s="1080"/>
      <c r="F59" s="1080"/>
      <c r="G59" s="1080"/>
      <c r="H59" s="1080"/>
      <c r="I59" s="1080"/>
    </row>
    <row r="60" spans="1:11" ht="15">
      <c r="A60" s="137">
        <v>2</v>
      </c>
      <c r="B60" s="1083" t="s">
        <v>357</v>
      </c>
      <c r="C60" s="1083"/>
      <c r="D60" s="1083"/>
      <c r="E60" s="1083"/>
      <c r="F60" s="1083"/>
      <c r="G60" s="1083"/>
      <c r="H60" s="1083"/>
      <c r="I60" s="126" t="s">
        <v>127</v>
      </c>
    </row>
    <row r="61" spans="1:11">
      <c r="A61" s="136" t="s">
        <v>259</v>
      </c>
      <c r="B61" s="1107" t="s">
        <v>347</v>
      </c>
      <c r="C61" s="1107"/>
      <c r="D61" s="1107"/>
      <c r="E61" s="1107"/>
      <c r="F61" s="1107"/>
      <c r="G61" s="1107"/>
      <c r="H61" s="1107"/>
      <c r="I61" s="138">
        <f>IF(ROUND((21*H62*H63)-(I56*0.06),2)&lt;0,0,ROUND((21*H62*H63)-(I56*0.06),2))*1+(H62*H63*21.726-0.06*I56)*0</f>
        <v>57.82</v>
      </c>
    </row>
    <row r="62" spans="1:11" ht="24.75" customHeight="1">
      <c r="A62" s="136"/>
      <c r="B62" s="1109" t="s">
        <v>470</v>
      </c>
      <c r="C62" s="1109"/>
      <c r="D62" s="1109"/>
      <c r="E62" s="1109"/>
      <c r="F62" s="1109"/>
      <c r="G62" s="1109"/>
      <c r="H62" s="139">
        <v>2.7</v>
      </c>
      <c r="I62" s="140" t="s">
        <v>227</v>
      </c>
    </row>
    <row r="63" spans="1:11">
      <c r="A63" s="136"/>
      <c r="B63" s="1110" t="s">
        <v>335</v>
      </c>
      <c r="C63" s="1110"/>
      <c r="D63" s="1110"/>
      <c r="E63" s="1110"/>
      <c r="F63" s="1110"/>
      <c r="G63" s="1110"/>
      <c r="H63" s="141">
        <v>2</v>
      </c>
      <c r="I63" s="140"/>
    </row>
    <row r="64" spans="1:11" ht="26.25" customHeight="1">
      <c r="A64" s="136" t="s">
        <v>261</v>
      </c>
      <c r="B64" s="1107" t="s">
        <v>2</v>
      </c>
      <c r="C64" s="1107"/>
      <c r="D64" s="1107"/>
      <c r="E64" s="1107"/>
      <c r="F64" s="1107"/>
      <c r="G64" s="1107"/>
      <c r="H64" s="1107"/>
      <c r="I64" s="138">
        <f>ROUND(21*H65*(1-0.175),2)*1+ROUND(21.726*6*(1-0.175),2)*0</f>
        <v>251.21</v>
      </c>
    </row>
    <row r="65" spans="1:10">
      <c r="A65" s="136"/>
      <c r="B65" s="1109" t="s">
        <v>476</v>
      </c>
      <c r="C65" s="1109"/>
      <c r="D65" s="1109"/>
      <c r="E65" s="1109"/>
      <c r="F65" s="1109"/>
      <c r="G65" s="1109"/>
      <c r="H65" s="139">
        <v>14.5</v>
      </c>
      <c r="I65" s="140" t="s">
        <v>227</v>
      </c>
    </row>
    <row r="66" spans="1:10">
      <c r="A66" s="136" t="s">
        <v>263</v>
      </c>
      <c r="B66" s="1107" t="s">
        <v>277</v>
      </c>
      <c r="C66" s="1107"/>
      <c r="D66" s="1107"/>
      <c r="E66" s="1107"/>
      <c r="F66" s="1107"/>
      <c r="G66" s="1107"/>
      <c r="H66" s="1107"/>
      <c r="I66" s="138">
        <v>0</v>
      </c>
    </row>
    <row r="67" spans="1:10">
      <c r="A67" s="136" t="s">
        <v>264</v>
      </c>
      <c r="B67" s="1105" t="s">
        <v>299</v>
      </c>
      <c r="C67" s="1105"/>
      <c r="D67" s="1105"/>
      <c r="E67" s="1105"/>
      <c r="F67" s="1105"/>
      <c r="G67" s="1105"/>
      <c r="H67" s="1105"/>
      <c r="I67" s="129">
        <v>0</v>
      </c>
    </row>
    <row r="68" spans="1:10" ht="26.25" customHeight="1">
      <c r="A68" s="136" t="s">
        <v>272</v>
      </c>
      <c r="B68" s="1107" t="s">
        <v>3</v>
      </c>
      <c r="C68" s="1107"/>
      <c r="D68" s="1107"/>
      <c r="E68" s="1107"/>
      <c r="F68" s="1107"/>
      <c r="G68" s="1107"/>
      <c r="H68" s="1107"/>
      <c r="I68" s="138">
        <f>ROUND(0.001068*5000,2)</f>
        <v>5.34</v>
      </c>
    </row>
    <row r="69" spans="1:10" ht="26.25" customHeight="1">
      <c r="A69" s="136" t="s">
        <v>273</v>
      </c>
      <c r="B69" s="1107" t="s">
        <v>477</v>
      </c>
      <c r="C69" s="1064"/>
      <c r="D69" s="1064"/>
      <c r="E69" s="1064"/>
      <c r="F69" s="1064"/>
      <c r="G69" s="1064"/>
      <c r="H69" s="1108"/>
      <c r="I69" s="138">
        <v>9.3800000000000008</v>
      </c>
    </row>
    <row r="70" spans="1:10">
      <c r="A70" s="136" t="s">
        <v>274</v>
      </c>
      <c r="B70" s="1105" t="s">
        <v>126</v>
      </c>
      <c r="C70" s="1105"/>
      <c r="D70" s="1105"/>
      <c r="E70" s="1105"/>
      <c r="F70" s="1105"/>
      <c r="G70" s="1105"/>
      <c r="H70" s="1105"/>
      <c r="I70" s="129">
        <v>0</v>
      </c>
    </row>
    <row r="71" spans="1:10">
      <c r="A71" s="130"/>
      <c r="B71" s="1106" t="s">
        <v>358</v>
      </c>
      <c r="C71" s="1106"/>
      <c r="D71" s="1106"/>
      <c r="E71" s="1106"/>
      <c r="F71" s="1106"/>
      <c r="G71" s="1106"/>
      <c r="H71" s="1106"/>
      <c r="I71" s="142">
        <f>SUM(I61:I70)</f>
        <v>323.75</v>
      </c>
    </row>
    <row r="72" spans="1:10">
      <c r="A72" s="1099"/>
      <c r="B72" s="1099"/>
      <c r="C72" s="1099"/>
      <c r="D72" s="1099"/>
      <c r="E72" s="1099"/>
      <c r="F72" s="1099"/>
      <c r="G72" s="1099"/>
      <c r="H72" s="1099"/>
      <c r="I72" s="1099"/>
    </row>
    <row r="73" spans="1:10">
      <c r="A73" s="1091" t="s">
        <v>300</v>
      </c>
      <c r="B73" s="1091"/>
      <c r="C73" s="1091"/>
      <c r="D73" s="1091"/>
      <c r="E73" s="1091"/>
      <c r="F73" s="1091"/>
      <c r="G73" s="1091"/>
      <c r="H73" s="1091"/>
      <c r="I73" s="1091"/>
    </row>
    <row r="74" spans="1:10">
      <c r="A74" s="1097"/>
      <c r="B74" s="1097"/>
      <c r="C74" s="1097"/>
      <c r="D74" s="1097"/>
      <c r="E74" s="1097"/>
      <c r="F74" s="1097"/>
      <c r="G74" s="1097"/>
      <c r="H74" s="1097"/>
      <c r="I74" s="1097"/>
    </row>
    <row r="75" spans="1:10">
      <c r="A75" s="1104" t="s">
        <v>278</v>
      </c>
      <c r="B75" s="1104"/>
      <c r="C75" s="1104"/>
      <c r="D75" s="1104"/>
      <c r="E75" s="1104"/>
      <c r="F75" s="1104"/>
      <c r="G75" s="1104"/>
      <c r="H75" s="1104"/>
      <c r="I75" s="1104"/>
    </row>
    <row r="76" spans="1:10" ht="15">
      <c r="A76" s="137">
        <v>3</v>
      </c>
      <c r="B76" s="1083" t="s">
        <v>359</v>
      </c>
      <c r="C76" s="1083"/>
      <c r="D76" s="1083"/>
      <c r="E76" s="1083"/>
      <c r="F76" s="1083"/>
      <c r="G76" s="1083"/>
      <c r="H76" s="1083"/>
      <c r="I76" s="137" t="s">
        <v>127</v>
      </c>
    </row>
    <row r="77" spans="1:10" ht="15" customHeight="1">
      <c r="A77" s="136" t="s">
        <v>259</v>
      </c>
      <c r="B77" s="1082" t="s">
        <v>325</v>
      </c>
      <c r="C77" s="1082"/>
      <c r="D77" s="1082"/>
      <c r="E77" s="1082"/>
      <c r="F77" s="1082"/>
      <c r="G77" s="1082"/>
      <c r="H77" s="1082"/>
      <c r="I77" s="51">
        <v>30</v>
      </c>
      <c r="J77" s="220"/>
    </row>
    <row r="78" spans="1:10">
      <c r="A78" s="136" t="s">
        <v>261</v>
      </c>
      <c r="B78" s="1090" t="s">
        <v>326</v>
      </c>
      <c r="C78" s="1090"/>
      <c r="D78" s="1090"/>
      <c r="E78" s="1090"/>
      <c r="F78" s="1090"/>
      <c r="G78" s="1090"/>
      <c r="H78" s="1090"/>
      <c r="I78" s="221">
        <v>210</v>
      </c>
      <c r="J78" s="220"/>
    </row>
    <row r="79" spans="1:10">
      <c r="A79" s="136" t="s">
        <v>263</v>
      </c>
      <c r="B79" s="1086" t="s">
        <v>327</v>
      </c>
      <c r="C79" s="1086"/>
      <c r="D79" s="1086"/>
      <c r="E79" s="1086"/>
      <c r="F79" s="1086"/>
      <c r="G79" s="1086"/>
      <c r="H79" s="1086"/>
      <c r="I79" s="221">
        <v>38</v>
      </c>
      <c r="J79" s="220"/>
    </row>
    <row r="80" spans="1:10">
      <c r="A80" s="136" t="s">
        <v>264</v>
      </c>
      <c r="B80" s="1082" t="s">
        <v>126</v>
      </c>
      <c r="C80" s="1082"/>
      <c r="D80" s="1082"/>
      <c r="E80" s="1082"/>
      <c r="F80" s="1082"/>
      <c r="G80" s="1082"/>
      <c r="H80" s="1082"/>
      <c r="I80" s="221" t="s">
        <v>285</v>
      </c>
      <c r="J80" s="220"/>
    </row>
    <row r="81" spans="1:9">
      <c r="A81" s="1076" t="s">
        <v>360</v>
      </c>
      <c r="B81" s="1076"/>
      <c r="C81" s="1076"/>
      <c r="D81" s="1076"/>
      <c r="E81" s="1076"/>
      <c r="F81" s="1076"/>
      <c r="G81" s="1076"/>
      <c r="H81" s="1076"/>
      <c r="I81" s="54">
        <f>ROUND(SUM(I77:I80),2)</f>
        <v>278</v>
      </c>
    </row>
    <row r="82" spans="1:9" ht="18">
      <c r="A82" s="1101"/>
      <c r="B82" s="1101"/>
      <c r="C82" s="1101"/>
      <c r="D82" s="1101"/>
      <c r="E82" s="1101"/>
      <c r="F82" s="1101"/>
      <c r="G82" s="1101"/>
      <c r="H82" s="1101"/>
      <c r="I82" s="1101"/>
    </row>
    <row r="83" spans="1:9">
      <c r="A83" s="1167" t="s">
        <v>453</v>
      </c>
      <c r="B83" s="1102"/>
      <c r="C83" s="1102"/>
      <c r="D83" s="1102"/>
      <c r="E83" s="1102"/>
      <c r="F83" s="1102"/>
      <c r="G83" s="1102"/>
      <c r="H83" s="1102"/>
      <c r="I83" s="1102"/>
    </row>
    <row r="84" spans="1:9" ht="18">
      <c r="A84" s="145"/>
      <c r="B84" s="146"/>
      <c r="C84" s="146"/>
      <c r="D84" s="146"/>
      <c r="E84" s="146"/>
      <c r="F84" s="146"/>
      <c r="G84" s="146"/>
      <c r="H84" s="146"/>
      <c r="I84" s="147"/>
    </row>
    <row r="85" spans="1:9">
      <c r="A85" s="1103" t="s">
        <v>454</v>
      </c>
      <c r="B85" s="1103"/>
      <c r="C85" s="1103"/>
      <c r="D85" s="1103"/>
      <c r="E85" s="1103"/>
      <c r="F85" s="1103"/>
      <c r="G85" s="1103"/>
      <c r="H85" s="1103"/>
      <c r="I85" s="1103"/>
    </row>
    <row r="86" spans="1:9" ht="25.5">
      <c r="A86" s="148" t="s">
        <v>279</v>
      </c>
      <c r="B86" s="1083" t="s">
        <v>362</v>
      </c>
      <c r="C86" s="1083"/>
      <c r="D86" s="1083"/>
      <c r="E86" s="1083"/>
      <c r="F86" s="1083"/>
      <c r="G86" s="1083"/>
      <c r="H86" s="128" t="s">
        <v>363</v>
      </c>
      <c r="I86" s="126" t="s">
        <v>127</v>
      </c>
    </row>
    <row r="87" spans="1:9">
      <c r="A87" s="149" t="s">
        <v>259</v>
      </c>
      <c r="B87" s="1090" t="s">
        <v>128</v>
      </c>
      <c r="C87" s="1090"/>
      <c r="D87" s="1090"/>
      <c r="E87" s="1090"/>
      <c r="F87" s="1090"/>
      <c r="G87" s="1090"/>
      <c r="H87" s="150">
        <v>0.2</v>
      </c>
      <c r="I87" s="151">
        <f t="shared" ref="I87:I94" si="0">ROUND($I$58*H87,2)</f>
        <v>222.3</v>
      </c>
    </row>
    <row r="88" spans="1:9">
      <c r="A88" s="149" t="s">
        <v>261</v>
      </c>
      <c r="B88" s="1090" t="s">
        <v>129</v>
      </c>
      <c r="C88" s="1090"/>
      <c r="D88" s="1090"/>
      <c r="E88" s="1090"/>
      <c r="F88" s="1090"/>
      <c r="G88" s="1090"/>
      <c r="H88" s="150">
        <v>1.4999999999999999E-2</v>
      </c>
      <c r="I88" s="151">
        <f t="shared" si="0"/>
        <v>16.670000000000002</v>
      </c>
    </row>
    <row r="89" spans="1:9">
      <c r="A89" s="149" t="s">
        <v>263</v>
      </c>
      <c r="B89" s="1090" t="s">
        <v>130</v>
      </c>
      <c r="C89" s="1090"/>
      <c r="D89" s="1090"/>
      <c r="E89" s="1090"/>
      <c r="F89" s="1090"/>
      <c r="G89" s="1090"/>
      <c r="H89" s="150">
        <v>0.01</v>
      </c>
      <c r="I89" s="151">
        <f t="shared" si="0"/>
        <v>11.12</v>
      </c>
    </row>
    <row r="90" spans="1:9">
      <c r="A90" s="149" t="s">
        <v>264</v>
      </c>
      <c r="B90" s="1090" t="s">
        <v>131</v>
      </c>
      <c r="C90" s="1090"/>
      <c r="D90" s="1090"/>
      <c r="E90" s="1090"/>
      <c r="F90" s="1090"/>
      <c r="G90" s="1090"/>
      <c r="H90" s="150">
        <v>2E-3</v>
      </c>
      <c r="I90" s="151">
        <f t="shared" si="0"/>
        <v>2.2200000000000002</v>
      </c>
    </row>
    <row r="91" spans="1:9">
      <c r="A91" s="149" t="s">
        <v>272</v>
      </c>
      <c r="B91" s="1082" t="s">
        <v>301</v>
      </c>
      <c r="C91" s="1082"/>
      <c r="D91" s="1082"/>
      <c r="E91" s="1082"/>
      <c r="F91" s="1082"/>
      <c r="G91" s="1082"/>
      <c r="H91" s="152">
        <v>2.5000000000000001E-2</v>
      </c>
      <c r="I91" s="151">
        <f t="shared" si="0"/>
        <v>27.79</v>
      </c>
    </row>
    <row r="92" spans="1:9">
      <c r="A92" s="149" t="s">
        <v>273</v>
      </c>
      <c r="B92" s="1082" t="s">
        <v>132</v>
      </c>
      <c r="C92" s="1082"/>
      <c r="D92" s="1082"/>
      <c r="E92" s="1082"/>
      <c r="F92" s="1082"/>
      <c r="G92" s="1082"/>
      <c r="H92" s="152">
        <v>0.08</v>
      </c>
      <c r="I92" s="151">
        <f t="shared" si="0"/>
        <v>88.92</v>
      </c>
    </row>
    <row r="93" spans="1:9" ht="56.25" customHeight="1">
      <c r="A93" s="149" t="s">
        <v>274</v>
      </c>
      <c r="B93" s="1100" t="s">
        <v>4</v>
      </c>
      <c r="C93" s="1100"/>
      <c r="D93" s="153" t="s">
        <v>342</v>
      </c>
      <c r="E93" s="154">
        <v>0.03</v>
      </c>
      <c r="F93" s="153" t="s">
        <v>455</v>
      </c>
      <c r="G93" s="155">
        <v>1</v>
      </c>
      <c r="H93" s="156">
        <f>ROUND((E93*G93),6)</f>
        <v>0.03</v>
      </c>
      <c r="I93" s="151">
        <f t="shared" si="0"/>
        <v>33.35</v>
      </c>
    </row>
    <row r="94" spans="1:9">
      <c r="A94" s="149" t="s">
        <v>275</v>
      </c>
      <c r="B94" s="1082" t="s">
        <v>133</v>
      </c>
      <c r="C94" s="1082"/>
      <c r="D94" s="1082"/>
      <c r="E94" s="1082"/>
      <c r="F94" s="1082"/>
      <c r="G94" s="1082"/>
      <c r="H94" s="152">
        <v>6.0000000000000001E-3</v>
      </c>
      <c r="I94" s="151">
        <f t="shared" si="0"/>
        <v>6.67</v>
      </c>
    </row>
    <row r="95" spans="1:9">
      <c r="A95" s="1076" t="s">
        <v>134</v>
      </c>
      <c r="B95" s="1076"/>
      <c r="C95" s="1076"/>
      <c r="D95" s="1076"/>
      <c r="E95" s="1076"/>
      <c r="F95" s="1076"/>
      <c r="G95" s="1076"/>
      <c r="H95" s="157">
        <f>SUM(H87:H94)</f>
        <v>0.3680000000000001</v>
      </c>
      <c r="I95" s="142">
        <f>SUM(I87:I94)</f>
        <v>409.04000000000008</v>
      </c>
    </row>
    <row r="96" spans="1:9">
      <c r="A96" s="158"/>
      <c r="B96" s="159"/>
      <c r="C96" s="159"/>
      <c r="D96" s="159"/>
      <c r="E96" s="159"/>
      <c r="F96" s="159"/>
      <c r="G96" s="159"/>
      <c r="H96" s="160"/>
      <c r="I96" s="161"/>
    </row>
    <row r="97" spans="1:15">
      <c r="A97" s="1068" t="s">
        <v>387</v>
      </c>
      <c r="B97" s="1068"/>
      <c r="C97" s="1068"/>
      <c r="D97" s="1068"/>
      <c r="E97" s="1068"/>
      <c r="F97" s="1068"/>
      <c r="G97" s="1068"/>
      <c r="H97" s="1068"/>
      <c r="I97" s="1068"/>
    </row>
    <row r="98" spans="1:15">
      <c r="A98" s="1099"/>
      <c r="B98" s="1099"/>
      <c r="C98" s="1099"/>
      <c r="D98" s="1099"/>
      <c r="E98" s="1099"/>
      <c r="F98" s="1099"/>
      <c r="G98" s="1099"/>
      <c r="H98" s="1099"/>
      <c r="I98" s="1099"/>
    </row>
    <row r="99" spans="1:15" ht="15">
      <c r="A99" s="1089" t="s">
        <v>365</v>
      </c>
      <c r="B99" s="1089"/>
      <c r="C99" s="1089"/>
      <c r="D99" s="1089"/>
      <c r="E99" s="1089"/>
      <c r="F99" s="1089"/>
      <c r="G99" s="1089"/>
      <c r="H99" s="1089"/>
      <c r="I99" s="1089"/>
    </row>
    <row r="100" spans="1:15" ht="15">
      <c r="A100" s="137" t="s">
        <v>280</v>
      </c>
      <c r="B100" s="1083" t="s">
        <v>367</v>
      </c>
      <c r="C100" s="1083"/>
      <c r="D100" s="1083"/>
      <c r="E100" s="1083"/>
      <c r="F100" s="1083"/>
      <c r="G100" s="1083"/>
      <c r="H100" s="1083"/>
      <c r="I100" s="137" t="s">
        <v>127</v>
      </c>
    </row>
    <row r="101" spans="1:15" ht="24" customHeight="1">
      <c r="A101" s="136" t="s">
        <v>259</v>
      </c>
      <c r="B101" s="1090" t="s">
        <v>79</v>
      </c>
      <c r="C101" s="1090"/>
      <c r="D101" s="1090"/>
      <c r="E101" s="1090"/>
      <c r="F101" s="1090"/>
      <c r="G101" s="1090"/>
      <c r="H101" s="1090"/>
      <c r="I101" s="151">
        <f>ROUND($I$58*0.0833,2)</f>
        <v>92.59</v>
      </c>
      <c r="K101">
        <f>100/12</f>
        <v>8.3333333333333339</v>
      </c>
      <c r="L101">
        <f>4/12</f>
        <v>0.33333333333333331</v>
      </c>
    </row>
    <row r="102" spans="1:15">
      <c r="A102" s="1076" t="s">
        <v>281</v>
      </c>
      <c r="B102" s="1076"/>
      <c r="C102" s="1076"/>
      <c r="D102" s="1076"/>
      <c r="E102" s="1076"/>
      <c r="F102" s="1076"/>
      <c r="G102" s="1076"/>
      <c r="H102" s="1076"/>
      <c r="I102" s="162">
        <f>SUM(I101:I101)</f>
        <v>92.59</v>
      </c>
    </row>
    <row r="103" spans="1:15">
      <c r="A103" s="136" t="s">
        <v>261</v>
      </c>
      <c r="B103" s="1098" t="s">
        <v>5</v>
      </c>
      <c r="C103" s="1098"/>
      <c r="D103" s="1098"/>
      <c r="E103" s="1098"/>
      <c r="F103" s="1098"/>
      <c r="G103" s="1098"/>
      <c r="H103" s="1098"/>
      <c r="I103" s="163">
        <f>ROUND(H95*I102,2)</f>
        <v>34.07</v>
      </c>
    </row>
    <row r="104" spans="1:15">
      <c r="A104" s="1076" t="s">
        <v>134</v>
      </c>
      <c r="B104" s="1076"/>
      <c r="C104" s="1076"/>
      <c r="D104" s="1076"/>
      <c r="E104" s="1076"/>
      <c r="F104" s="1076"/>
      <c r="G104" s="1076"/>
      <c r="H104" s="1076"/>
      <c r="I104" s="143">
        <f>SUM(I102:I103)</f>
        <v>126.66</v>
      </c>
    </row>
    <row r="105" spans="1:15">
      <c r="A105" s="1097"/>
      <c r="B105" s="1097"/>
      <c r="C105" s="1097"/>
      <c r="D105" s="1097"/>
      <c r="E105" s="1097"/>
      <c r="F105" s="1097"/>
      <c r="G105" s="1097"/>
      <c r="H105" s="1097"/>
      <c r="I105" s="1097"/>
    </row>
    <row r="106" spans="1:15" ht="15">
      <c r="A106" s="1089" t="s">
        <v>368</v>
      </c>
      <c r="B106" s="1089"/>
      <c r="C106" s="1089"/>
      <c r="D106" s="1089"/>
      <c r="E106" s="1089"/>
      <c r="F106" s="1089"/>
      <c r="G106" s="1089"/>
      <c r="H106" s="1089"/>
      <c r="I106" s="1089"/>
    </row>
    <row r="107" spans="1:15" ht="15">
      <c r="A107" s="137" t="s">
        <v>282</v>
      </c>
      <c r="B107" s="1081" t="s">
        <v>287</v>
      </c>
      <c r="C107" s="1081"/>
      <c r="D107" s="1081"/>
      <c r="E107" s="1081"/>
      <c r="F107" s="1081"/>
      <c r="G107" s="1081"/>
      <c r="H107" s="1081"/>
      <c r="I107" s="137" t="s">
        <v>127</v>
      </c>
    </row>
    <row r="108" spans="1:15">
      <c r="A108" s="136" t="s">
        <v>259</v>
      </c>
      <c r="B108" s="1082" t="s">
        <v>6</v>
      </c>
      <c r="C108" s="1082"/>
      <c r="D108" s="1082"/>
      <c r="E108" s="1082"/>
      <c r="F108" s="1082"/>
      <c r="G108" s="1082"/>
      <c r="H108" s="1082"/>
      <c r="I108" s="151">
        <f>ROUND((((I58+(1/3*I58))/12)*(4/12))*2%,2)</f>
        <v>0.82</v>
      </c>
      <c r="K108">
        <f>4/12*I58</f>
        <v>370.50666666666666</v>
      </c>
      <c r="L108">
        <f>K108*2%</f>
        <v>7.4101333333333335</v>
      </c>
      <c r="M108" s="216">
        <f>I58</f>
        <v>1111.52</v>
      </c>
      <c r="O108">
        <f>ROUND((((I58+(1/3*I58))/12)*(4/12))*2%,2)</f>
        <v>0.82</v>
      </c>
    </row>
    <row r="109" spans="1:15">
      <c r="A109" s="136" t="s">
        <v>261</v>
      </c>
      <c r="B109" s="1082" t="s">
        <v>424</v>
      </c>
      <c r="C109" s="1082"/>
      <c r="D109" s="1082"/>
      <c r="E109" s="1082"/>
      <c r="F109" s="1082"/>
      <c r="G109" s="1082"/>
      <c r="H109" s="1082"/>
      <c r="I109" s="151">
        <f>ROUND(H95*I108,2)</f>
        <v>0.3</v>
      </c>
      <c r="M109">
        <f>+M108/3</f>
        <v>370.50666666666666</v>
      </c>
    </row>
    <row r="110" spans="1:15">
      <c r="A110" s="1076" t="s">
        <v>134</v>
      </c>
      <c r="B110" s="1076"/>
      <c r="C110" s="1076"/>
      <c r="D110" s="1076"/>
      <c r="E110" s="1076"/>
      <c r="F110" s="1076"/>
      <c r="G110" s="1076"/>
      <c r="H110" s="1076"/>
      <c r="I110" s="142">
        <f>SUM(I108:I109)</f>
        <v>1.1199999999999999</v>
      </c>
      <c r="M110" s="216">
        <f>SUM(M108:M109)</f>
        <v>1482.0266666666666</v>
      </c>
      <c r="N110">
        <f>M110/12</f>
        <v>123.50222222222222</v>
      </c>
    </row>
    <row r="111" spans="1:15" ht="15">
      <c r="A111" s="1085" t="s">
        <v>369</v>
      </c>
      <c r="B111" s="1085"/>
      <c r="C111" s="1085"/>
      <c r="D111" s="1085"/>
      <c r="E111" s="1085"/>
      <c r="F111" s="1085"/>
      <c r="G111" s="1085"/>
      <c r="H111" s="1085"/>
      <c r="I111" s="1085"/>
      <c r="N111">
        <f>4/12</f>
        <v>0.33333333333333331</v>
      </c>
    </row>
    <row r="112" spans="1:15" ht="15">
      <c r="A112" s="137" t="s">
        <v>283</v>
      </c>
      <c r="B112" s="1081" t="s">
        <v>370</v>
      </c>
      <c r="C112" s="1081"/>
      <c r="D112" s="1081"/>
      <c r="E112" s="1081"/>
      <c r="F112" s="1081"/>
      <c r="G112" s="1081"/>
      <c r="H112" s="1081"/>
      <c r="I112" s="137" t="s">
        <v>127</v>
      </c>
      <c r="N112">
        <f>N111*N110</f>
        <v>41.167407407407403</v>
      </c>
      <c r="O112">
        <f>+N112*0.02</f>
        <v>0.82334814814814805</v>
      </c>
    </row>
    <row r="113" spans="1:9" ht="45" customHeight="1">
      <c r="A113" s="52" t="s">
        <v>259</v>
      </c>
      <c r="B113" s="1095" t="s">
        <v>38</v>
      </c>
      <c r="C113" s="1087"/>
      <c r="D113" s="1087"/>
      <c r="E113" s="1087"/>
      <c r="F113" s="1087"/>
      <c r="G113" s="1087"/>
      <c r="H113" s="1096"/>
      <c r="I113" s="51">
        <f>ROUND((($I$58/12)+($I$101/12)+($I$122/12))*(30/30)*0.05,2)</f>
        <v>5.58</v>
      </c>
    </row>
    <row r="114" spans="1:9">
      <c r="A114" s="136" t="s">
        <v>261</v>
      </c>
      <c r="B114" s="1086" t="s">
        <v>7</v>
      </c>
      <c r="C114" s="1086"/>
      <c r="D114" s="1086"/>
      <c r="E114" s="1086"/>
      <c r="F114" s="1086"/>
      <c r="G114" s="1086"/>
      <c r="H114" s="1086"/>
      <c r="I114" s="151">
        <f>ROUND($H$92*I113,2)</f>
        <v>0.45</v>
      </c>
    </row>
    <row r="115" spans="1:9" ht="36" customHeight="1">
      <c r="A115" s="136" t="s">
        <v>263</v>
      </c>
      <c r="B115" s="1090" t="s">
        <v>8</v>
      </c>
      <c r="C115" s="1090"/>
      <c r="D115" s="1090"/>
      <c r="E115" s="1090"/>
      <c r="F115" s="1090"/>
      <c r="G115" s="1090"/>
      <c r="H115" s="1090"/>
      <c r="I115" s="151">
        <f>ROUND(0.0024*I58,2)</f>
        <v>2.67</v>
      </c>
    </row>
    <row r="116" spans="1:9" ht="25.5" customHeight="1">
      <c r="A116" s="136" t="s">
        <v>264</v>
      </c>
      <c r="B116" s="1090" t="s">
        <v>432</v>
      </c>
      <c r="C116" s="1090"/>
      <c r="D116" s="1090"/>
      <c r="E116" s="1090"/>
      <c r="F116" s="1090"/>
      <c r="G116" s="1090"/>
      <c r="H116" s="1090"/>
      <c r="I116" s="151">
        <f>ROUND(((7/30)/$H$11)*$I$58*0.9,2)</f>
        <v>19.45</v>
      </c>
    </row>
    <row r="117" spans="1:9">
      <c r="A117" s="136" t="s">
        <v>272</v>
      </c>
      <c r="B117" s="1086" t="s">
        <v>423</v>
      </c>
      <c r="C117" s="1086"/>
      <c r="D117" s="1086"/>
      <c r="E117" s="1086"/>
      <c r="F117" s="1086"/>
      <c r="G117" s="1086"/>
      <c r="H117" s="1086"/>
      <c r="I117" s="151">
        <f>ROUND($H$95*I116,2)</f>
        <v>7.16</v>
      </c>
    </row>
    <row r="118" spans="1:9" ht="36" customHeight="1">
      <c r="A118" s="136" t="s">
        <v>273</v>
      </c>
      <c r="B118" s="1091" t="s">
        <v>9</v>
      </c>
      <c r="C118" s="1091"/>
      <c r="D118" s="1091"/>
      <c r="E118" s="1091"/>
      <c r="F118" s="1091"/>
      <c r="G118" s="1091"/>
      <c r="H118" s="1091"/>
      <c r="I118" s="151">
        <f>ROUND(0.0476*I58,2)</f>
        <v>52.91</v>
      </c>
    </row>
    <row r="119" spans="1:9">
      <c r="A119" s="1076" t="s">
        <v>134</v>
      </c>
      <c r="B119" s="1076"/>
      <c r="C119" s="1076"/>
      <c r="D119" s="1076"/>
      <c r="E119" s="1076"/>
      <c r="F119" s="1076"/>
      <c r="G119" s="1076"/>
      <c r="H119" s="1076"/>
      <c r="I119" s="142">
        <f>SUM(I113:I118)</f>
        <v>88.22</v>
      </c>
    </row>
    <row r="120" spans="1:9" ht="15">
      <c r="A120" s="1089" t="s">
        <v>10</v>
      </c>
      <c r="B120" s="1089"/>
      <c r="C120" s="1089"/>
      <c r="D120" s="1089"/>
      <c r="E120" s="1089"/>
      <c r="F120" s="1089"/>
      <c r="G120" s="1089"/>
      <c r="H120" s="1089"/>
      <c r="I120" s="1089"/>
    </row>
    <row r="121" spans="1:9" ht="15">
      <c r="A121" s="164" t="s">
        <v>284</v>
      </c>
      <c r="B121" s="1081" t="s">
        <v>350</v>
      </c>
      <c r="C121" s="1081"/>
      <c r="D121" s="1081"/>
      <c r="E121" s="1081"/>
      <c r="F121" s="1081"/>
      <c r="G121" s="1081"/>
      <c r="H121" s="1081"/>
      <c r="I121" s="164" t="s">
        <v>127</v>
      </c>
    </row>
    <row r="122" spans="1:9" ht="36.75" customHeight="1">
      <c r="A122" s="165" t="s">
        <v>259</v>
      </c>
      <c r="B122" s="1090" t="s">
        <v>11</v>
      </c>
      <c r="C122" s="1090"/>
      <c r="D122" s="1090"/>
      <c r="E122" s="1090"/>
      <c r="F122" s="1090"/>
      <c r="G122" s="1090"/>
      <c r="H122" s="1090"/>
      <c r="I122" s="151">
        <f>ROUND($I$58*0.121,2)</f>
        <v>134.49</v>
      </c>
    </row>
    <row r="123" spans="1:9">
      <c r="A123" s="165" t="s">
        <v>261</v>
      </c>
      <c r="B123" s="1086" t="s">
        <v>12</v>
      </c>
      <c r="C123" s="1086"/>
      <c r="D123" s="1086"/>
      <c r="E123" s="1086"/>
      <c r="F123" s="1086"/>
      <c r="G123" s="1086"/>
      <c r="H123" s="1086"/>
      <c r="I123" s="166">
        <f>ROUND(((5/30)/12)*$I$58,2)</f>
        <v>15.44</v>
      </c>
    </row>
    <row r="124" spans="1:9">
      <c r="A124" s="165" t="s">
        <v>263</v>
      </c>
      <c r="B124" s="1086" t="s">
        <v>13</v>
      </c>
      <c r="C124" s="1086"/>
      <c r="D124" s="1086"/>
      <c r="E124" s="1086"/>
      <c r="F124" s="1086"/>
      <c r="G124" s="1086"/>
      <c r="H124" s="1086"/>
      <c r="I124" s="166">
        <f>ROUND((5/30)/12*0.015*I58,2)</f>
        <v>0.23</v>
      </c>
    </row>
    <row r="125" spans="1:9">
      <c r="A125" s="165" t="s">
        <v>264</v>
      </c>
      <c r="B125" s="1086" t="s">
        <v>14</v>
      </c>
      <c r="C125" s="1086"/>
      <c r="D125" s="1086"/>
      <c r="E125" s="1086"/>
      <c r="F125" s="1086"/>
      <c r="G125" s="1086"/>
      <c r="H125" s="1086"/>
      <c r="I125" s="166">
        <f>ROUND((2.96/30)/12*I58,2)</f>
        <v>9.14</v>
      </c>
    </row>
    <row r="126" spans="1:9">
      <c r="A126" s="165" t="s">
        <v>272</v>
      </c>
      <c r="B126" s="1086" t="s">
        <v>112</v>
      </c>
      <c r="C126" s="1086"/>
      <c r="D126" s="1086"/>
      <c r="E126" s="1086"/>
      <c r="F126" s="1086"/>
      <c r="G126" s="1086"/>
      <c r="H126" s="1086"/>
      <c r="I126" s="167">
        <f>ROUND(((($I$58/30)*15)/12)*0.0078,2)</f>
        <v>0.36</v>
      </c>
    </row>
    <row r="127" spans="1:9">
      <c r="A127" s="165" t="s">
        <v>273</v>
      </c>
      <c r="B127" s="1086" t="s">
        <v>126</v>
      </c>
      <c r="C127" s="1086"/>
      <c r="D127" s="1086"/>
      <c r="E127" s="1086"/>
      <c r="F127" s="1086"/>
      <c r="G127" s="1086"/>
      <c r="H127" s="1086"/>
      <c r="I127" s="167">
        <v>0</v>
      </c>
    </row>
    <row r="128" spans="1:9">
      <c r="A128" s="1076" t="s">
        <v>281</v>
      </c>
      <c r="B128" s="1076"/>
      <c r="C128" s="1076"/>
      <c r="D128" s="1076"/>
      <c r="E128" s="1076"/>
      <c r="F128" s="1076"/>
      <c r="G128" s="1076"/>
      <c r="H128" s="1076"/>
      <c r="I128" s="168">
        <f>SUM(I122:I127)</f>
        <v>159.66000000000003</v>
      </c>
    </row>
    <row r="129" spans="1:12">
      <c r="A129" s="165" t="s">
        <v>274</v>
      </c>
      <c r="B129" s="1084" t="s">
        <v>425</v>
      </c>
      <c r="C129" s="1084"/>
      <c r="D129" s="1084"/>
      <c r="E129" s="1084"/>
      <c r="F129" s="1084"/>
      <c r="G129" s="1084"/>
      <c r="H129" s="1084"/>
      <c r="I129" s="167">
        <f>ROUND(H95*I128,2)</f>
        <v>58.75</v>
      </c>
    </row>
    <row r="130" spans="1:12">
      <c r="A130" s="1076" t="s">
        <v>134</v>
      </c>
      <c r="B130" s="1076"/>
      <c r="C130" s="1076"/>
      <c r="D130" s="1076"/>
      <c r="E130" s="1076"/>
      <c r="F130" s="1076"/>
      <c r="G130" s="1076"/>
      <c r="H130" s="1076"/>
      <c r="I130" s="142">
        <f>SUM(I128:I129)</f>
        <v>218.41000000000003</v>
      </c>
    </row>
    <row r="131" spans="1:12" ht="15">
      <c r="A131" s="1085" t="s">
        <v>15</v>
      </c>
      <c r="B131" s="1085"/>
      <c r="C131" s="1085"/>
      <c r="D131" s="1085"/>
      <c r="E131" s="1085"/>
      <c r="F131" s="1085"/>
      <c r="G131" s="1085"/>
      <c r="H131" s="1085"/>
      <c r="I131" s="1085"/>
    </row>
    <row r="132" spans="1:12" ht="15">
      <c r="A132" s="137">
        <v>4</v>
      </c>
      <c r="B132" s="1083" t="s">
        <v>372</v>
      </c>
      <c r="C132" s="1083"/>
      <c r="D132" s="1083"/>
      <c r="E132" s="1083"/>
      <c r="F132" s="1083"/>
      <c r="G132" s="1083"/>
      <c r="H132" s="1083"/>
      <c r="I132" s="137" t="s">
        <v>127</v>
      </c>
    </row>
    <row r="133" spans="1:12">
      <c r="A133" s="136" t="s">
        <v>279</v>
      </c>
      <c r="B133" s="1082" t="s">
        <v>362</v>
      </c>
      <c r="C133" s="1082"/>
      <c r="D133" s="1082"/>
      <c r="E133" s="1082"/>
      <c r="F133" s="1082"/>
      <c r="G133" s="1082"/>
      <c r="H133" s="1082"/>
      <c r="I133" s="138">
        <f>I95</f>
        <v>409.04000000000008</v>
      </c>
    </row>
    <row r="134" spans="1:12">
      <c r="A134" s="136" t="s">
        <v>280</v>
      </c>
      <c r="B134" s="1082" t="s">
        <v>16</v>
      </c>
      <c r="C134" s="1082"/>
      <c r="D134" s="1082"/>
      <c r="E134" s="1082"/>
      <c r="F134" s="1082"/>
      <c r="G134" s="1082"/>
      <c r="H134" s="1082"/>
      <c r="I134" s="138">
        <f>I104</f>
        <v>126.66</v>
      </c>
    </row>
    <row r="135" spans="1:12">
      <c r="A135" s="136" t="s">
        <v>282</v>
      </c>
      <c r="B135" s="1082" t="s">
        <v>287</v>
      </c>
      <c r="C135" s="1082"/>
      <c r="D135" s="1082"/>
      <c r="E135" s="1082"/>
      <c r="F135" s="1082"/>
      <c r="G135" s="1082"/>
      <c r="H135" s="1082"/>
      <c r="I135" s="138">
        <f>I110</f>
        <v>1.1199999999999999</v>
      </c>
    </row>
    <row r="136" spans="1:12">
      <c r="A136" s="136" t="s">
        <v>283</v>
      </c>
      <c r="B136" s="1082" t="s">
        <v>288</v>
      </c>
      <c r="C136" s="1082"/>
      <c r="D136" s="1082"/>
      <c r="E136" s="1082"/>
      <c r="F136" s="1082"/>
      <c r="G136" s="1082"/>
      <c r="H136" s="1082"/>
      <c r="I136" s="138">
        <f>I119</f>
        <v>88.22</v>
      </c>
    </row>
    <row r="137" spans="1:12">
      <c r="A137" s="136" t="s">
        <v>284</v>
      </c>
      <c r="B137" s="1082" t="s">
        <v>289</v>
      </c>
      <c r="C137" s="1082"/>
      <c r="D137" s="1082"/>
      <c r="E137" s="1082"/>
      <c r="F137" s="1082"/>
      <c r="G137" s="1082"/>
      <c r="H137" s="1082"/>
      <c r="I137" s="138">
        <f>I130</f>
        <v>218.41000000000003</v>
      </c>
    </row>
    <row r="138" spans="1:12">
      <c r="A138" s="136" t="s">
        <v>286</v>
      </c>
      <c r="B138" s="1082" t="s">
        <v>126</v>
      </c>
      <c r="C138" s="1082"/>
      <c r="D138" s="1082"/>
      <c r="E138" s="1082"/>
      <c r="F138" s="1082"/>
      <c r="G138" s="1082"/>
      <c r="H138" s="1082"/>
      <c r="I138" s="138">
        <v>0</v>
      </c>
    </row>
    <row r="139" spans="1:12">
      <c r="A139" s="1076" t="s">
        <v>134</v>
      </c>
      <c r="B139" s="1076"/>
      <c r="C139" s="1076"/>
      <c r="D139" s="1076"/>
      <c r="E139" s="1076"/>
      <c r="F139" s="1076"/>
      <c r="G139" s="1076"/>
      <c r="H139" s="1076"/>
      <c r="I139" s="142">
        <f>SUM(I133:I138)</f>
        <v>843.45</v>
      </c>
    </row>
    <row r="140" spans="1:12">
      <c r="A140" s="1080" t="s">
        <v>333</v>
      </c>
      <c r="B140" s="1080"/>
      <c r="C140" s="1080"/>
      <c r="D140" s="1080"/>
      <c r="E140" s="1080"/>
      <c r="F140" s="1080"/>
      <c r="G140" s="1080"/>
      <c r="H140" s="1080"/>
      <c r="I140" s="1080"/>
    </row>
    <row r="141" spans="1:12" ht="25.5">
      <c r="A141" s="137">
        <v>5</v>
      </c>
      <c r="B141" s="1081" t="s">
        <v>374</v>
      </c>
      <c r="C141" s="1081"/>
      <c r="D141" s="1081"/>
      <c r="E141" s="1081"/>
      <c r="F141" s="1081"/>
      <c r="G141" s="1081"/>
      <c r="H141" s="128" t="s">
        <v>363</v>
      </c>
      <c r="I141" s="169" t="s">
        <v>127</v>
      </c>
    </row>
    <row r="142" spans="1:12" ht="36" customHeight="1">
      <c r="A142" s="1078" t="s">
        <v>17</v>
      </c>
      <c r="B142" s="1078"/>
      <c r="C142" s="1078"/>
      <c r="D142" s="1078"/>
      <c r="E142" s="1078"/>
      <c r="F142" s="1078"/>
      <c r="G142" s="1078"/>
      <c r="H142" s="170" t="s">
        <v>227</v>
      </c>
      <c r="I142" s="171">
        <f>SUM(I58+I71+I81+I139)</f>
        <v>2556.7200000000003</v>
      </c>
      <c r="L142" s="219">
        <f>278/I142</f>
        <v>0.10873306423855564</v>
      </c>
    </row>
    <row r="143" spans="1:12" ht="15">
      <c r="A143" s="136" t="s">
        <v>259</v>
      </c>
      <c r="B143" s="1079" t="s">
        <v>18</v>
      </c>
      <c r="C143" s="1079"/>
      <c r="D143" s="1079"/>
      <c r="E143" s="1079"/>
      <c r="F143" s="1079"/>
      <c r="G143" s="1079"/>
      <c r="H143" s="152">
        <v>0.03</v>
      </c>
      <c r="I143" s="151">
        <f>ROUND(H143*I142,2)</f>
        <v>76.7</v>
      </c>
    </row>
    <row r="144" spans="1:12" ht="36.75" customHeight="1">
      <c r="A144" s="1078" t="s">
        <v>318</v>
      </c>
      <c r="B144" s="1078"/>
      <c r="C144" s="1078"/>
      <c r="D144" s="1078"/>
      <c r="E144" s="1078"/>
      <c r="F144" s="1078"/>
      <c r="G144" s="1078"/>
      <c r="H144" s="172" t="s">
        <v>227</v>
      </c>
      <c r="I144" s="171">
        <f>SUM(I58+I71+I81+I139+I143)</f>
        <v>2633.42</v>
      </c>
    </row>
    <row r="145" spans="1:9" ht="15">
      <c r="A145" s="136" t="s">
        <v>261</v>
      </c>
      <c r="B145" s="1079" t="s">
        <v>290</v>
      </c>
      <c r="C145" s="1079"/>
      <c r="D145" s="1079"/>
      <c r="E145" s="1079"/>
      <c r="F145" s="1079"/>
      <c r="G145" s="1079"/>
      <c r="H145" s="152">
        <v>6.7900000000000002E-2</v>
      </c>
      <c r="I145" s="151">
        <f>ROUND(H145*I144,2)</f>
        <v>178.81</v>
      </c>
    </row>
    <row r="146" spans="1:9" ht="39.75" customHeight="1">
      <c r="A146" s="1078" t="s">
        <v>336</v>
      </c>
      <c r="B146" s="1078"/>
      <c r="C146" s="1078"/>
      <c r="D146" s="1078"/>
      <c r="E146" s="1078"/>
      <c r="F146" s="1078"/>
      <c r="G146" s="1078"/>
      <c r="H146" s="172" t="s">
        <v>227</v>
      </c>
      <c r="I146" s="171">
        <f>SUM(I58+I71+I81+I139+I143+I145)</f>
        <v>2812.23</v>
      </c>
    </row>
    <row r="147" spans="1:9">
      <c r="A147" s="136" t="s">
        <v>263</v>
      </c>
      <c r="B147" s="1077" t="s">
        <v>291</v>
      </c>
      <c r="C147" s="1077"/>
      <c r="D147" s="1077"/>
      <c r="E147" s="1077"/>
      <c r="F147" s="1077"/>
      <c r="G147" s="1077"/>
      <c r="H147" s="173" t="s">
        <v>227</v>
      </c>
      <c r="I147" s="174" t="s">
        <v>227</v>
      </c>
    </row>
    <row r="148" spans="1:9">
      <c r="A148" s="136"/>
      <c r="B148" s="1077" t="s">
        <v>19</v>
      </c>
      <c r="C148" s="1077"/>
      <c r="D148" s="1077"/>
      <c r="E148" s="1077"/>
      <c r="F148" s="1077"/>
      <c r="G148" s="1077"/>
      <c r="H148" s="173" t="s">
        <v>227</v>
      </c>
      <c r="I148" s="174" t="s">
        <v>227</v>
      </c>
    </row>
    <row r="149" spans="1:9">
      <c r="A149" s="136"/>
      <c r="B149" s="1068" t="s">
        <v>20</v>
      </c>
      <c r="C149" s="1068"/>
      <c r="D149" s="1068"/>
      <c r="E149" s="1068"/>
      <c r="F149" s="1068"/>
      <c r="G149" s="1068"/>
      <c r="H149" s="175">
        <v>7.5999999999999998E-2</v>
      </c>
      <c r="I149" s="151">
        <f>ROUND(($I$146/(1-$H$157))*H149,2)</f>
        <v>243.57</v>
      </c>
    </row>
    <row r="150" spans="1:9">
      <c r="A150" s="136"/>
      <c r="B150" s="1068" t="s">
        <v>21</v>
      </c>
      <c r="C150" s="1068"/>
      <c r="D150" s="1068"/>
      <c r="E150" s="1068"/>
      <c r="F150" s="1068"/>
      <c r="G150" s="1068"/>
      <c r="H150" s="175">
        <v>1.6500000000000001E-2</v>
      </c>
      <c r="I150" s="151">
        <f>ROUND(($I$146/(1-$H$157))*H150,2)</f>
        <v>52.88</v>
      </c>
    </row>
    <row r="151" spans="1:9" ht="24" customHeight="1">
      <c r="A151" s="136"/>
      <c r="B151" s="1078" t="s">
        <v>308</v>
      </c>
      <c r="C151" s="1078"/>
      <c r="D151" s="1078"/>
      <c r="E151" s="1078"/>
      <c r="F151" s="1078"/>
      <c r="G151" s="1078"/>
      <c r="H151" s="176" t="s">
        <v>227</v>
      </c>
      <c r="I151" s="174" t="s">
        <v>227</v>
      </c>
    </row>
    <row r="152" spans="1:9">
      <c r="A152" s="136"/>
      <c r="B152" s="1073" t="s">
        <v>22</v>
      </c>
      <c r="C152" s="1073"/>
      <c r="D152" s="1073"/>
      <c r="E152" s="1073"/>
      <c r="F152" s="1073"/>
      <c r="G152" s="1073"/>
      <c r="H152" s="176" t="s">
        <v>227</v>
      </c>
      <c r="I152" s="174" t="s">
        <v>227</v>
      </c>
    </row>
    <row r="153" spans="1:9">
      <c r="A153" s="136"/>
      <c r="B153" s="1074" t="s">
        <v>23</v>
      </c>
      <c r="C153" s="1074"/>
      <c r="D153" s="1074"/>
      <c r="E153" s="1074"/>
      <c r="F153" s="1074"/>
      <c r="G153" s="1074"/>
      <c r="H153" s="176" t="s">
        <v>227</v>
      </c>
      <c r="I153" s="174" t="s">
        <v>227</v>
      </c>
    </row>
    <row r="154" spans="1:9">
      <c r="A154" s="136"/>
      <c r="B154" s="1168" t="s">
        <v>471</v>
      </c>
      <c r="C154" s="1068"/>
      <c r="D154" s="1068"/>
      <c r="E154" s="1068"/>
      <c r="F154" s="1068"/>
      <c r="G154" s="1068"/>
      <c r="H154" s="175">
        <v>0.03</v>
      </c>
      <c r="I154" s="151">
        <f>ROUND(($I$146/(1-$H$157))*H154,2)</f>
        <v>96.14</v>
      </c>
    </row>
    <row r="155" spans="1:9">
      <c r="A155" s="1076" t="s">
        <v>134</v>
      </c>
      <c r="B155" s="1076"/>
      <c r="C155" s="1076"/>
      <c r="D155" s="1076"/>
      <c r="E155" s="1076"/>
      <c r="F155" s="1076"/>
      <c r="G155" s="1076"/>
      <c r="H155" s="1076"/>
      <c r="I155" s="142">
        <f>SUM(I143+I145+I149+I150+I154)</f>
        <v>648.1</v>
      </c>
    </row>
    <row r="156" spans="1:9">
      <c r="A156" s="1049"/>
      <c r="B156" s="1049"/>
      <c r="C156" s="1049"/>
      <c r="D156" s="1049"/>
      <c r="E156" s="1049"/>
      <c r="F156" s="1049"/>
      <c r="G156" s="1049"/>
      <c r="H156" s="1049"/>
      <c r="I156" s="1049"/>
    </row>
    <row r="157" spans="1:9">
      <c r="A157" s="1070" t="s">
        <v>302</v>
      </c>
      <c r="B157" s="1070"/>
      <c r="C157" s="1070"/>
      <c r="D157" s="1070"/>
      <c r="E157" s="1070"/>
      <c r="F157" s="1070"/>
      <c r="G157" s="1070"/>
      <c r="H157" s="177">
        <f>SUM(H149:H154)</f>
        <v>0.1225</v>
      </c>
      <c r="I157" s="178">
        <f>SUM(I149:I154)</f>
        <v>392.59</v>
      </c>
    </row>
    <row r="158" spans="1:9">
      <c r="A158" s="1071" t="s">
        <v>292</v>
      </c>
      <c r="B158" s="1071"/>
      <c r="C158" s="703" t="s">
        <v>294</v>
      </c>
      <c r="D158" s="703"/>
      <c r="E158" s="703"/>
      <c r="F158" s="703"/>
      <c r="G158" s="703"/>
      <c r="H158" s="703"/>
      <c r="I158" s="703"/>
    </row>
    <row r="159" spans="1:9">
      <c r="A159" s="1071"/>
      <c r="B159" s="1071"/>
      <c r="C159" s="723" t="s">
        <v>293</v>
      </c>
      <c r="D159" s="723"/>
      <c r="E159" s="723"/>
      <c r="F159" s="723"/>
      <c r="G159" s="723"/>
      <c r="H159" s="723"/>
      <c r="I159" s="723"/>
    </row>
    <row r="160" spans="1:9">
      <c r="A160" s="1071"/>
      <c r="B160" s="1071"/>
      <c r="C160" s="1072" t="s">
        <v>295</v>
      </c>
      <c r="D160" s="1072"/>
      <c r="E160" s="1072"/>
      <c r="F160" s="1072"/>
      <c r="G160" s="1072"/>
      <c r="H160" s="1072"/>
      <c r="I160" s="1072"/>
    </row>
    <row r="161" spans="1:9">
      <c r="A161" s="1067"/>
      <c r="B161" s="1067"/>
      <c r="C161" s="1067"/>
      <c r="D161" s="1067"/>
      <c r="E161" s="1067"/>
      <c r="F161" s="1067"/>
      <c r="G161" s="1067"/>
      <c r="H161" s="1067"/>
      <c r="I161" s="1067"/>
    </row>
    <row r="162" spans="1:9">
      <c r="A162" s="1068" t="s">
        <v>24</v>
      </c>
      <c r="B162" s="1068"/>
      <c r="C162" s="1068"/>
      <c r="D162" s="1068"/>
      <c r="E162" s="1068"/>
      <c r="F162" s="1068"/>
      <c r="G162" s="1068"/>
      <c r="H162" s="1068"/>
      <c r="I162" s="1068"/>
    </row>
    <row r="163" spans="1:9">
      <c r="A163" s="1049"/>
      <c r="B163" s="1049"/>
      <c r="C163" s="1049"/>
      <c r="D163" s="1049"/>
      <c r="E163" s="1049"/>
      <c r="F163" s="1049"/>
      <c r="G163" s="1049"/>
      <c r="H163" s="1049"/>
      <c r="I163" s="1049"/>
    </row>
    <row r="164" spans="1:9" ht="15.75">
      <c r="A164" s="1069" t="s">
        <v>25</v>
      </c>
      <c r="B164" s="1069"/>
      <c r="C164" s="1069"/>
      <c r="D164" s="1069"/>
      <c r="E164" s="1069"/>
      <c r="F164" s="1069"/>
      <c r="G164" s="1069"/>
      <c r="H164" s="1069"/>
      <c r="I164" s="1069"/>
    </row>
    <row r="165" spans="1:9" ht="15">
      <c r="A165" s="1066" t="s">
        <v>114</v>
      </c>
      <c r="B165" s="1066"/>
      <c r="C165" s="1066"/>
      <c r="D165" s="1066"/>
      <c r="E165" s="1066"/>
      <c r="F165" s="1066"/>
      <c r="G165" s="1066"/>
      <c r="H165" s="1066"/>
      <c r="I165" s="128" t="s">
        <v>127</v>
      </c>
    </row>
    <row r="166" spans="1:9">
      <c r="A166" s="179" t="s">
        <v>259</v>
      </c>
      <c r="B166" s="1064" t="s">
        <v>384</v>
      </c>
      <c r="C166" s="1064"/>
      <c r="D166" s="1064"/>
      <c r="E166" s="1064"/>
      <c r="F166" s="1064"/>
      <c r="G166" s="1064"/>
      <c r="H166" s="1064"/>
      <c r="I166" s="129">
        <f>I58</f>
        <v>1111.52</v>
      </c>
    </row>
    <row r="167" spans="1:9">
      <c r="A167" s="179" t="s">
        <v>261</v>
      </c>
      <c r="B167" s="1064" t="s">
        <v>101</v>
      </c>
      <c r="C167" s="1064"/>
      <c r="D167" s="1064"/>
      <c r="E167" s="1064"/>
      <c r="F167" s="1064"/>
      <c r="G167" s="1064"/>
      <c r="H167" s="1064"/>
      <c r="I167" s="129">
        <f>I71</f>
        <v>323.75</v>
      </c>
    </row>
    <row r="168" spans="1:9">
      <c r="A168" s="179" t="s">
        <v>263</v>
      </c>
      <c r="B168" s="1064" t="s">
        <v>102</v>
      </c>
      <c r="C168" s="1064"/>
      <c r="D168" s="1064"/>
      <c r="E168" s="1064"/>
      <c r="F168" s="1064"/>
      <c r="G168" s="1064"/>
      <c r="H168" s="1064"/>
      <c r="I168" s="129">
        <f>I81</f>
        <v>278</v>
      </c>
    </row>
    <row r="169" spans="1:9">
      <c r="A169" s="179" t="s">
        <v>264</v>
      </c>
      <c r="B169" s="1064" t="s">
        <v>372</v>
      </c>
      <c r="C169" s="1064"/>
      <c r="D169" s="1064"/>
      <c r="E169" s="1064"/>
      <c r="F169" s="1064"/>
      <c r="G169" s="1064"/>
      <c r="H169" s="1064"/>
      <c r="I169" s="129">
        <f>I139</f>
        <v>843.45</v>
      </c>
    </row>
    <row r="170" spans="1:9">
      <c r="A170" s="1065" t="s">
        <v>115</v>
      </c>
      <c r="B170" s="1065"/>
      <c r="C170" s="1065"/>
      <c r="D170" s="1065"/>
      <c r="E170" s="1065"/>
      <c r="F170" s="1065"/>
      <c r="G170" s="1065"/>
      <c r="H170" s="1065"/>
      <c r="I170" s="144">
        <f>SUM(I166:I169)</f>
        <v>2556.7200000000003</v>
      </c>
    </row>
    <row r="171" spans="1:9">
      <c r="A171" s="180" t="s">
        <v>272</v>
      </c>
      <c r="B171" s="1064" t="s">
        <v>103</v>
      </c>
      <c r="C171" s="1064"/>
      <c r="D171" s="1064"/>
      <c r="E171" s="1064"/>
      <c r="F171" s="1064"/>
      <c r="G171" s="1064"/>
      <c r="H171" s="1064"/>
      <c r="I171" s="129">
        <f>I155</f>
        <v>648.1</v>
      </c>
    </row>
    <row r="172" spans="1:9">
      <c r="A172" s="1065" t="s">
        <v>26</v>
      </c>
      <c r="B172" s="1065"/>
      <c r="C172" s="1065"/>
      <c r="D172" s="1065"/>
      <c r="E172" s="1065"/>
      <c r="F172" s="1065"/>
      <c r="G172" s="1065"/>
      <c r="H172" s="1065"/>
      <c r="I172" s="144">
        <f>SUM(I170:I171)</f>
        <v>3204.82</v>
      </c>
    </row>
    <row r="173" spans="1:9" ht="30.75" customHeight="1">
      <c r="A173" s="1062" t="s">
        <v>307</v>
      </c>
      <c r="B173" s="1062"/>
      <c r="C173" s="1062"/>
      <c r="D173" s="1062"/>
      <c r="E173" s="1062"/>
      <c r="F173" s="1062"/>
      <c r="G173" s="1062"/>
      <c r="H173" s="1062"/>
      <c r="I173" s="1062"/>
    </row>
    <row r="174" spans="1:9" ht="15.75">
      <c r="A174" s="1059" t="s">
        <v>28</v>
      </c>
      <c r="B174" s="1059"/>
      <c r="C174" s="1059"/>
      <c r="D174" s="1059"/>
      <c r="E174" s="1059"/>
      <c r="F174" s="1059"/>
      <c r="G174" s="1059"/>
      <c r="H174" s="1059"/>
      <c r="I174" s="1059"/>
    </row>
    <row r="175" spans="1:9" ht="60">
      <c r="A175" s="1063" t="s">
        <v>117</v>
      </c>
      <c r="B175" s="1063"/>
      <c r="C175" s="1060" t="s">
        <v>116</v>
      </c>
      <c r="D175" s="1060"/>
      <c r="E175" s="182" t="s">
        <v>118</v>
      </c>
      <c r="F175" s="1060" t="s">
        <v>119</v>
      </c>
      <c r="G175" s="1060"/>
      <c r="H175" s="181" t="s">
        <v>120</v>
      </c>
      <c r="I175" s="181" t="s">
        <v>121</v>
      </c>
    </row>
    <row r="176" spans="1:9">
      <c r="A176" s="1052" t="s">
        <v>122</v>
      </c>
      <c r="B176" s="1052"/>
      <c r="C176" s="1050" t="s">
        <v>305</v>
      </c>
      <c r="D176" s="1050"/>
      <c r="E176" s="184"/>
      <c r="F176" s="1050" t="s">
        <v>305</v>
      </c>
      <c r="G176" s="1050"/>
      <c r="H176" s="185"/>
      <c r="I176" s="183" t="s">
        <v>305</v>
      </c>
    </row>
    <row r="177" spans="1:9">
      <c r="A177" s="1052" t="s">
        <v>304</v>
      </c>
      <c r="B177" s="1052"/>
      <c r="C177" s="1050" t="s">
        <v>305</v>
      </c>
      <c r="D177" s="1050"/>
      <c r="E177" s="184"/>
      <c r="F177" s="1050" t="s">
        <v>305</v>
      </c>
      <c r="G177" s="1050"/>
      <c r="H177" s="185"/>
      <c r="I177" s="183" t="s">
        <v>305</v>
      </c>
    </row>
    <row r="178" spans="1:9">
      <c r="A178" s="1052" t="s">
        <v>303</v>
      </c>
      <c r="B178" s="1052"/>
      <c r="C178" s="1050" t="s">
        <v>305</v>
      </c>
      <c r="D178" s="1050"/>
      <c r="E178" s="183"/>
      <c r="F178" s="1050" t="s">
        <v>305</v>
      </c>
      <c r="G178" s="1050"/>
      <c r="H178" s="183"/>
      <c r="I178" s="183" t="s">
        <v>305</v>
      </c>
    </row>
    <row r="179" spans="1:9">
      <c r="A179" s="1061" t="s">
        <v>29</v>
      </c>
      <c r="B179" s="1061"/>
      <c r="C179" s="1061"/>
      <c r="D179" s="1061"/>
      <c r="E179" s="1061"/>
      <c r="F179" s="1061"/>
      <c r="G179" s="1061"/>
      <c r="H179" s="1061"/>
      <c r="I179" s="183"/>
    </row>
    <row r="180" spans="1:9" ht="15.75">
      <c r="A180" s="1059" t="s">
        <v>30</v>
      </c>
      <c r="B180" s="1059"/>
      <c r="C180" s="1059"/>
      <c r="D180" s="1059"/>
      <c r="E180" s="1059"/>
      <c r="F180" s="1059"/>
      <c r="G180" s="1059"/>
      <c r="H180" s="1059"/>
      <c r="I180" s="1059"/>
    </row>
    <row r="181" spans="1:9" ht="15.75">
      <c r="A181" s="1059" t="s">
        <v>31</v>
      </c>
      <c r="B181" s="1059"/>
      <c r="C181" s="1059"/>
      <c r="D181" s="1059"/>
      <c r="E181" s="1059"/>
      <c r="F181" s="1059"/>
      <c r="G181" s="1059"/>
      <c r="H181" s="1059"/>
      <c r="I181" s="1059"/>
    </row>
    <row r="182" spans="1:9">
      <c r="A182" s="1060" t="s">
        <v>123</v>
      </c>
      <c r="B182" s="1060"/>
      <c r="C182" s="1060"/>
      <c r="D182" s="1060"/>
      <c r="E182" s="1060"/>
      <c r="F182" s="1060"/>
      <c r="G182" s="1060"/>
      <c r="H182" s="1060"/>
      <c r="I182" s="181" t="s">
        <v>127</v>
      </c>
    </row>
    <row r="183" spans="1:9">
      <c r="A183" s="186" t="s">
        <v>259</v>
      </c>
      <c r="B183" s="1050" t="s">
        <v>32</v>
      </c>
      <c r="C183" s="1050"/>
      <c r="D183" s="1050"/>
      <c r="E183" s="1050"/>
      <c r="F183" s="1050"/>
      <c r="G183" s="1050"/>
      <c r="H183" s="1050"/>
      <c r="I183" s="183"/>
    </row>
    <row r="184" spans="1:9">
      <c r="A184" s="186" t="s">
        <v>261</v>
      </c>
      <c r="B184" s="1050" t="s">
        <v>124</v>
      </c>
      <c r="C184" s="1050"/>
      <c r="D184" s="1050"/>
      <c r="E184" s="1050"/>
      <c r="F184" s="1050"/>
      <c r="G184" s="1050"/>
      <c r="H184" s="1050"/>
      <c r="I184" s="183"/>
    </row>
    <row r="185" spans="1:9">
      <c r="A185" s="186" t="s">
        <v>263</v>
      </c>
      <c r="B185" s="1050" t="s">
        <v>33</v>
      </c>
      <c r="C185" s="1050"/>
      <c r="D185" s="1050"/>
      <c r="E185" s="1050"/>
      <c r="F185" s="1050"/>
      <c r="G185" s="1050"/>
      <c r="H185" s="1050"/>
      <c r="I185" s="183"/>
    </row>
    <row r="186" spans="1:9">
      <c r="A186" s="1051"/>
      <c r="B186" s="1051"/>
      <c r="C186" s="1051"/>
      <c r="D186" s="1051"/>
      <c r="E186" s="1051"/>
      <c r="F186" s="1051"/>
      <c r="G186" s="1051"/>
      <c r="H186" s="1051"/>
      <c r="I186" s="1051"/>
    </row>
    <row r="187" spans="1:9">
      <c r="A187" s="1052" t="s">
        <v>34</v>
      </c>
      <c r="B187" s="1052"/>
      <c r="C187" s="1052"/>
      <c r="D187" s="1052"/>
      <c r="E187" s="1052"/>
      <c r="F187" s="1052"/>
      <c r="G187" s="1052"/>
      <c r="H187" s="1052"/>
      <c r="I187" s="1052"/>
    </row>
    <row r="188" spans="1:9">
      <c r="A188" s="1045"/>
      <c r="B188" s="1045"/>
      <c r="C188" s="1045"/>
      <c r="D188" s="1045"/>
      <c r="E188" s="1045"/>
      <c r="F188" s="1045"/>
      <c r="G188" s="1045"/>
      <c r="H188" s="1045"/>
      <c r="I188" s="1045"/>
    </row>
    <row r="189" spans="1:9">
      <c r="A189" s="26"/>
      <c r="B189" s="26"/>
      <c r="C189" s="26"/>
      <c r="D189" s="26"/>
      <c r="E189" s="26"/>
      <c r="F189" s="26"/>
      <c r="G189" s="26"/>
      <c r="H189" s="187"/>
      <c r="I189" s="188"/>
    </row>
    <row r="190" spans="1:9" ht="15">
      <c r="A190" s="1046" t="s">
        <v>306</v>
      </c>
      <c r="B190" s="1046"/>
      <c r="C190" s="1046"/>
      <c r="D190" s="1046"/>
      <c r="E190" s="1046"/>
      <c r="F190" s="1046"/>
      <c r="G190" s="1046"/>
      <c r="H190" s="1046"/>
      <c r="I190" s="1046"/>
    </row>
    <row r="191" spans="1:9" ht="15.75">
      <c r="A191" s="1047" t="s">
        <v>162</v>
      </c>
      <c r="B191" s="1047"/>
      <c r="C191" s="1047"/>
      <c r="D191" s="1047"/>
      <c r="E191" s="1047"/>
      <c r="F191" s="1047"/>
      <c r="G191" s="1047"/>
      <c r="H191" s="1047"/>
      <c r="I191" s="1047"/>
    </row>
    <row r="192" spans="1:9">
      <c r="A192" s="19"/>
      <c r="B192" s="19"/>
      <c r="C192" s="19"/>
      <c r="D192" s="19"/>
      <c r="E192" s="19"/>
      <c r="F192" s="19"/>
      <c r="G192" s="19"/>
      <c r="H192" s="19"/>
      <c r="I192" s="189"/>
    </row>
    <row r="193" spans="1:9">
      <c r="A193" s="1169" t="s">
        <v>48</v>
      </c>
      <c r="B193" s="1169"/>
      <c r="C193" s="1169"/>
      <c r="D193" s="1169"/>
      <c r="E193" s="1169"/>
      <c r="F193" s="1169"/>
      <c r="G193" s="1169"/>
      <c r="H193" s="1169"/>
      <c r="I193" s="1169"/>
    </row>
    <row r="194" spans="1:9" ht="25.5" customHeight="1">
      <c r="A194" s="1170" t="s">
        <v>49</v>
      </c>
      <c r="B194" s="1170"/>
      <c r="C194" s="1170"/>
      <c r="D194" s="1170"/>
      <c r="E194" s="1170"/>
      <c r="F194" s="1170"/>
      <c r="G194" s="1170"/>
      <c r="H194" s="1170"/>
      <c r="I194" s="1170"/>
    </row>
    <row r="195" spans="1:9">
      <c r="A195" s="1171" t="s">
        <v>225</v>
      </c>
      <c r="B195" s="1171"/>
      <c r="C195" s="904" t="s">
        <v>148</v>
      </c>
      <c r="D195" s="904"/>
      <c r="E195" s="904" t="s">
        <v>149</v>
      </c>
      <c r="F195" s="904"/>
      <c r="G195" s="904" t="s">
        <v>150</v>
      </c>
      <c r="H195" s="904"/>
      <c r="I195" s="904"/>
    </row>
    <row r="196" spans="1:9">
      <c r="A196" s="1172" t="s">
        <v>229</v>
      </c>
      <c r="B196" s="1172"/>
      <c r="C196" s="1173" t="s">
        <v>185</v>
      </c>
      <c r="D196" s="1173"/>
      <c r="E196" s="1174">
        <v>0</v>
      </c>
      <c r="F196" s="1174"/>
      <c r="G196" s="1175">
        <v>0</v>
      </c>
      <c r="H196" s="1175"/>
      <c r="I196" s="1175"/>
    </row>
    <row r="197" spans="1:9">
      <c r="A197" s="1172" t="s">
        <v>230</v>
      </c>
      <c r="B197" s="1172"/>
      <c r="C197" s="1175" t="s">
        <v>186</v>
      </c>
      <c r="D197" s="1175"/>
      <c r="E197" s="1176">
        <f>I172</f>
        <v>3204.82</v>
      </c>
      <c r="F197" s="1176"/>
      <c r="G197" s="1177">
        <f>ROUND((1/600)*E197,2)</f>
        <v>5.34</v>
      </c>
      <c r="H197" s="1177"/>
      <c r="I197" s="1177"/>
    </row>
    <row r="198" spans="1:9">
      <c r="A198" s="1178" t="s">
        <v>134</v>
      </c>
      <c r="B198" s="1178"/>
      <c r="C198" s="1178"/>
      <c r="D198" s="1178"/>
      <c r="E198" s="1178"/>
      <c r="F198" s="1178"/>
      <c r="G198" s="1177">
        <f>SUM(G196+G197)</f>
        <v>5.34</v>
      </c>
      <c r="H198" s="1177"/>
      <c r="I198" s="1177"/>
    </row>
    <row r="199" spans="1:9">
      <c r="A199" s="1179"/>
      <c r="B199" s="1179"/>
      <c r="C199" s="1179"/>
      <c r="D199" s="1179"/>
      <c r="E199" s="1179"/>
      <c r="F199" s="1179"/>
      <c r="G199" s="1179"/>
      <c r="H199" s="1179"/>
      <c r="I199" s="1179"/>
    </row>
    <row r="200" spans="1:9">
      <c r="A200" s="1180" t="s">
        <v>231</v>
      </c>
      <c r="B200" s="1180"/>
      <c r="C200" s="1181" t="s">
        <v>185</v>
      </c>
      <c r="D200" s="1181"/>
      <c r="E200" s="1182">
        <v>0</v>
      </c>
      <c r="F200" s="1182"/>
      <c r="G200" s="1175">
        <v>0</v>
      </c>
      <c r="H200" s="1175"/>
      <c r="I200" s="1175"/>
    </row>
    <row r="201" spans="1:9">
      <c r="A201" s="1172" t="s">
        <v>232</v>
      </c>
      <c r="B201" s="1172"/>
      <c r="C201" s="1175" t="s">
        <v>186</v>
      </c>
      <c r="D201" s="1175"/>
      <c r="E201" s="1174">
        <f>I172</f>
        <v>3204.82</v>
      </c>
      <c r="F201" s="1174"/>
      <c r="G201" s="1183">
        <f>ROUND((1/600)*E201,2)</f>
        <v>5.34</v>
      </c>
      <c r="H201" s="1183"/>
      <c r="I201" s="1183"/>
    </row>
    <row r="202" spans="1:9">
      <c r="A202" s="1184" t="s">
        <v>134</v>
      </c>
      <c r="B202" s="1184"/>
      <c r="C202" s="1184"/>
      <c r="D202" s="1184"/>
      <c r="E202" s="1184"/>
      <c r="F202" s="1184"/>
      <c r="G202" s="1177">
        <f>SUM(G200+G201)</f>
        <v>5.34</v>
      </c>
      <c r="H202" s="1177"/>
      <c r="I202" s="1177"/>
    </row>
    <row r="203" spans="1:9">
      <c r="A203" s="1179"/>
      <c r="B203" s="1179"/>
      <c r="C203" s="1179"/>
      <c r="D203" s="1179"/>
      <c r="E203" s="1179"/>
      <c r="F203" s="1179"/>
      <c r="G203" s="1179"/>
      <c r="H203" s="1179"/>
      <c r="I203" s="1179"/>
    </row>
    <row r="204" spans="1:9">
      <c r="A204" s="1180" t="s">
        <v>245</v>
      </c>
      <c r="B204" s="1180"/>
      <c r="C204" s="1181" t="s">
        <v>311</v>
      </c>
      <c r="D204" s="1181"/>
      <c r="E204" s="1185">
        <v>0</v>
      </c>
      <c r="F204" s="1185"/>
      <c r="G204" s="1175">
        <v>0</v>
      </c>
      <c r="H204" s="1175"/>
      <c r="I204" s="1175"/>
    </row>
    <row r="205" spans="1:9">
      <c r="A205" s="1172" t="s">
        <v>233</v>
      </c>
      <c r="B205" s="1172"/>
      <c r="C205" s="1175" t="s">
        <v>187</v>
      </c>
      <c r="D205" s="1175"/>
      <c r="E205" s="1186">
        <v>0</v>
      </c>
      <c r="F205" s="1186"/>
      <c r="G205" s="1175">
        <v>0</v>
      </c>
      <c r="H205" s="1175"/>
      <c r="I205" s="1175"/>
    </row>
    <row r="206" spans="1:9">
      <c r="A206" s="1184" t="s">
        <v>134</v>
      </c>
      <c r="B206" s="1184"/>
      <c r="C206" s="1184"/>
      <c r="D206" s="1184"/>
      <c r="E206" s="1184"/>
      <c r="F206" s="1184"/>
      <c r="G206" s="1177">
        <f>SUM(G204+G205)</f>
        <v>0</v>
      </c>
      <c r="H206" s="1177"/>
      <c r="I206" s="1177"/>
    </row>
    <row r="207" spans="1:9">
      <c r="A207" s="1179"/>
      <c r="B207" s="1179"/>
      <c r="C207" s="1179"/>
      <c r="D207" s="1179"/>
      <c r="E207" s="1179"/>
      <c r="F207" s="1179"/>
      <c r="G207" s="1179"/>
      <c r="H207" s="1179"/>
      <c r="I207" s="1179"/>
    </row>
    <row r="208" spans="1:9">
      <c r="A208" s="1187" t="s">
        <v>246</v>
      </c>
      <c r="B208" s="1187"/>
      <c r="C208" s="1181" t="s">
        <v>188</v>
      </c>
      <c r="D208" s="1181"/>
      <c r="E208" s="1182">
        <v>0</v>
      </c>
      <c r="F208" s="1182"/>
      <c r="G208" s="1175">
        <v>0</v>
      </c>
      <c r="H208" s="1175"/>
      <c r="I208" s="1175"/>
    </row>
    <row r="209" spans="1:9">
      <c r="A209" s="1188" t="s">
        <v>319</v>
      </c>
      <c r="B209" s="1188"/>
      <c r="C209" s="1175" t="s">
        <v>189</v>
      </c>
      <c r="D209" s="1175"/>
      <c r="E209" s="1176">
        <f>I172</f>
        <v>3204.82</v>
      </c>
      <c r="F209" s="1176"/>
      <c r="G209" s="1175">
        <f>ROUND((1/1350)*E209,2)</f>
        <v>2.37</v>
      </c>
      <c r="H209" s="1175"/>
      <c r="I209" s="1175"/>
    </row>
    <row r="210" spans="1:9">
      <c r="A210" s="1184" t="s">
        <v>134</v>
      </c>
      <c r="B210" s="1184"/>
      <c r="C210" s="1184"/>
      <c r="D210" s="1184"/>
      <c r="E210" s="1184"/>
      <c r="F210" s="1184"/>
      <c r="G210" s="1189">
        <f>SUM(G208+G209)</f>
        <v>2.37</v>
      </c>
      <c r="H210" s="1189"/>
      <c r="I210" s="1189"/>
    </row>
    <row r="211" spans="1:9">
      <c r="A211" s="1190"/>
      <c r="B211" s="1190"/>
      <c r="C211" s="1190"/>
      <c r="D211" s="1190"/>
      <c r="E211" s="1190"/>
      <c r="F211" s="1190"/>
      <c r="G211" s="1190"/>
      <c r="H211" s="1190"/>
      <c r="I211" s="1190"/>
    </row>
    <row r="212" spans="1:9">
      <c r="A212" s="1180" t="s">
        <v>247</v>
      </c>
      <c r="B212" s="1180"/>
      <c r="C212" s="1181" t="s">
        <v>190</v>
      </c>
      <c r="D212" s="1181"/>
      <c r="E212" s="1185">
        <v>0</v>
      </c>
      <c r="F212" s="1185"/>
      <c r="G212" s="1175">
        <v>0</v>
      </c>
      <c r="H212" s="1175"/>
      <c r="I212" s="1175"/>
    </row>
    <row r="213" spans="1:9">
      <c r="A213" s="1172" t="s">
        <v>234</v>
      </c>
      <c r="B213" s="1172"/>
      <c r="C213" s="1175" t="s">
        <v>191</v>
      </c>
      <c r="D213" s="1175"/>
      <c r="E213" s="1186">
        <v>0</v>
      </c>
      <c r="F213" s="1186"/>
      <c r="G213" s="1175">
        <v>0</v>
      </c>
      <c r="H213" s="1175"/>
      <c r="I213" s="1175"/>
    </row>
    <row r="214" spans="1:9">
      <c r="A214" s="1184" t="s">
        <v>134</v>
      </c>
      <c r="B214" s="1184"/>
      <c r="C214" s="1184"/>
      <c r="D214" s="1184"/>
      <c r="E214" s="1184"/>
      <c r="F214" s="1184"/>
      <c r="G214" s="1177">
        <f>SUM(G212+G213)</f>
        <v>0</v>
      </c>
      <c r="H214" s="1177"/>
      <c r="I214" s="1177"/>
    </row>
    <row r="215" spans="1:9">
      <c r="A215" s="1190"/>
      <c r="B215" s="1190"/>
      <c r="C215" s="1190"/>
      <c r="D215" s="1190"/>
      <c r="E215" s="1190"/>
      <c r="F215" s="1190"/>
      <c r="G215" s="1190"/>
      <c r="H215" s="1190"/>
      <c r="I215" s="1190"/>
    </row>
    <row r="216" spans="1:9" ht="23.25" customHeight="1">
      <c r="A216" s="1172" t="s">
        <v>248</v>
      </c>
      <c r="B216" s="1172"/>
      <c r="C216" s="1181" t="s">
        <v>192</v>
      </c>
      <c r="D216" s="1181"/>
      <c r="E216" s="1182">
        <v>0</v>
      </c>
      <c r="F216" s="1182"/>
      <c r="G216" s="1175">
        <v>0</v>
      </c>
      <c r="H216" s="1175"/>
      <c r="I216" s="1175"/>
    </row>
    <row r="217" spans="1:9" ht="26.25" customHeight="1">
      <c r="A217" s="1172" t="s">
        <v>235</v>
      </c>
      <c r="B217" s="1172"/>
      <c r="C217" s="1175" t="s">
        <v>193</v>
      </c>
      <c r="D217" s="1175"/>
      <c r="E217" s="1176">
        <f>I172</f>
        <v>3204.82</v>
      </c>
      <c r="F217" s="1176"/>
      <c r="G217" s="1175">
        <f>ROUND((1/800)*E217,2)</f>
        <v>4.01</v>
      </c>
      <c r="H217" s="1175"/>
      <c r="I217" s="1175"/>
    </row>
    <row r="218" spans="1:9">
      <c r="A218" s="1191" t="s">
        <v>134</v>
      </c>
      <c r="B218" s="1191"/>
      <c r="C218" s="1191"/>
      <c r="D218" s="1191"/>
      <c r="E218" s="1191"/>
      <c r="F218" s="1191"/>
      <c r="G218" s="1192">
        <f>SUM(G216+G217)</f>
        <v>4.01</v>
      </c>
      <c r="H218" s="1192"/>
      <c r="I218" s="1192"/>
    </row>
    <row r="219" spans="1:9">
      <c r="A219" s="900"/>
      <c r="B219" s="900"/>
      <c r="C219" s="900"/>
      <c r="D219" s="900"/>
      <c r="E219" s="900"/>
      <c r="F219" s="900"/>
      <c r="G219" s="900"/>
      <c r="H219" s="900"/>
      <c r="I219" s="900"/>
    </row>
    <row r="220" spans="1:9" ht="13.5">
      <c r="A220" s="1193" t="s">
        <v>50</v>
      </c>
      <c r="B220" s="1193"/>
      <c r="C220" s="1193"/>
      <c r="D220" s="1193"/>
      <c r="E220" s="1193"/>
      <c r="F220" s="1193"/>
      <c r="G220" s="1193"/>
      <c r="H220" s="1193"/>
      <c r="I220" s="1193"/>
    </row>
    <row r="221" spans="1:9">
      <c r="A221" s="1171" t="s">
        <v>257</v>
      </c>
      <c r="B221" s="1171"/>
      <c r="C221" s="904" t="s">
        <v>151</v>
      </c>
      <c r="D221" s="904"/>
      <c r="E221" s="904" t="s">
        <v>152</v>
      </c>
      <c r="F221" s="904"/>
      <c r="G221" s="904" t="s">
        <v>150</v>
      </c>
      <c r="H221" s="904"/>
      <c r="I221" s="904"/>
    </row>
    <row r="222" spans="1:9" ht="36" customHeight="1">
      <c r="A222" s="1130" t="s">
        <v>249</v>
      </c>
      <c r="B222" s="1130"/>
      <c r="C222" s="1194" t="s">
        <v>194</v>
      </c>
      <c r="D222" s="1194"/>
      <c r="E222" s="1174">
        <v>0</v>
      </c>
      <c r="F222" s="1174"/>
      <c r="G222" s="1174">
        <f>ROUND((1/1200)*E222,2)</f>
        <v>0</v>
      </c>
      <c r="H222" s="1174"/>
      <c r="I222" s="1174"/>
    </row>
    <row r="223" spans="1:9" ht="37.5" customHeight="1">
      <c r="A223" s="1130" t="s">
        <v>236</v>
      </c>
      <c r="B223" s="1130"/>
      <c r="C223" s="1194" t="s">
        <v>191</v>
      </c>
      <c r="D223" s="1194"/>
      <c r="E223" s="1174">
        <f>I172</f>
        <v>3204.82</v>
      </c>
      <c r="F223" s="1174"/>
      <c r="G223" s="1195">
        <f>ROUND((1/1200)*E223,2)</f>
        <v>2.67</v>
      </c>
      <c r="H223" s="1195"/>
      <c r="I223" s="1195"/>
    </row>
    <row r="224" spans="1:9">
      <c r="A224" s="1178" t="s">
        <v>134</v>
      </c>
      <c r="B224" s="1178"/>
      <c r="C224" s="1178"/>
      <c r="D224" s="1178"/>
      <c r="E224" s="1178"/>
      <c r="F224" s="1178"/>
      <c r="G224" s="1177">
        <f>SUM(G222+G223)</f>
        <v>2.67</v>
      </c>
      <c r="H224" s="1177"/>
      <c r="I224" s="1177"/>
    </row>
    <row r="225" spans="1:9">
      <c r="A225" s="1196"/>
      <c r="B225" s="1196"/>
      <c r="C225" s="1196"/>
      <c r="D225" s="1196"/>
      <c r="E225" s="1196"/>
      <c r="F225" s="1196"/>
      <c r="G225" s="1196"/>
      <c r="H225" s="1196"/>
      <c r="I225" s="1196"/>
    </row>
    <row r="226" spans="1:9" ht="23.25" customHeight="1">
      <c r="A226" s="1197" t="s">
        <v>250</v>
      </c>
      <c r="B226" s="1197"/>
      <c r="C226" s="1198" t="s">
        <v>195</v>
      </c>
      <c r="D226" s="1198"/>
      <c r="E226" s="1182">
        <v>0</v>
      </c>
      <c r="F226" s="1182"/>
      <c r="G226" s="1174">
        <f>ROUND((1/1200)*E226,2)</f>
        <v>0</v>
      </c>
      <c r="H226" s="1174"/>
      <c r="I226" s="1174"/>
    </row>
    <row r="227" spans="1:9" ht="24" customHeight="1">
      <c r="A227" s="1130" t="s">
        <v>237</v>
      </c>
      <c r="B227" s="1130"/>
      <c r="C227" s="1194" t="s">
        <v>196</v>
      </c>
      <c r="D227" s="1194"/>
      <c r="E227" s="1174">
        <f>I172</f>
        <v>3204.82</v>
      </c>
      <c r="F227" s="1174"/>
      <c r="G227" s="1174">
        <f>ROUND((1/6000)*E227,2)</f>
        <v>0.53</v>
      </c>
      <c r="H227" s="1174"/>
      <c r="I227" s="1174"/>
    </row>
    <row r="228" spans="1:9">
      <c r="A228" s="1178" t="s">
        <v>134</v>
      </c>
      <c r="B228" s="1178"/>
      <c r="C228" s="1178"/>
      <c r="D228" s="1178"/>
      <c r="E228" s="1178"/>
      <c r="F228" s="1178"/>
      <c r="G228" s="1177">
        <f>SUM(G226+G227)</f>
        <v>0.53</v>
      </c>
      <c r="H228" s="1177"/>
      <c r="I228" s="1177"/>
    </row>
    <row r="229" spans="1:9">
      <c r="A229" s="1097"/>
      <c r="B229" s="1097"/>
      <c r="C229" s="1097"/>
      <c r="D229" s="1097"/>
      <c r="E229" s="1097"/>
      <c r="F229" s="1097"/>
      <c r="G229" s="1097"/>
      <c r="H229" s="1097"/>
      <c r="I229" s="1097"/>
    </row>
    <row r="230" spans="1:9" ht="24" customHeight="1">
      <c r="A230" s="1197" t="s">
        <v>251</v>
      </c>
      <c r="B230" s="1197"/>
      <c r="C230" s="1198" t="s">
        <v>194</v>
      </c>
      <c r="D230" s="1198"/>
      <c r="E230" s="1182">
        <v>0</v>
      </c>
      <c r="F230" s="1182"/>
      <c r="G230" s="1199">
        <f>ROUND((1/1200)*E230,2)</f>
        <v>0</v>
      </c>
      <c r="H230" s="1199"/>
      <c r="I230" s="1199"/>
    </row>
    <row r="231" spans="1:9" ht="26.25" customHeight="1">
      <c r="A231" s="1130" t="s">
        <v>238</v>
      </c>
      <c r="B231" s="1130"/>
      <c r="C231" s="1194" t="s">
        <v>191</v>
      </c>
      <c r="D231" s="1194"/>
      <c r="E231" s="1174">
        <f>I172</f>
        <v>3204.82</v>
      </c>
      <c r="F231" s="1174"/>
      <c r="G231" s="1174">
        <f>ROUND((1/1200)*E231,2)</f>
        <v>2.67</v>
      </c>
      <c r="H231" s="1174"/>
      <c r="I231" s="1174"/>
    </row>
    <row r="232" spans="1:9">
      <c r="A232" s="1178" t="s">
        <v>134</v>
      </c>
      <c r="B232" s="1178"/>
      <c r="C232" s="1178"/>
      <c r="D232" s="1178"/>
      <c r="E232" s="1178"/>
      <c r="F232" s="1178"/>
      <c r="G232" s="1177">
        <f>SUM(G230+G231)</f>
        <v>2.67</v>
      </c>
      <c r="H232" s="1177"/>
      <c r="I232" s="1177"/>
    </row>
    <row r="233" spans="1:9">
      <c r="A233" s="1097"/>
      <c r="B233" s="1097"/>
      <c r="C233" s="1097"/>
      <c r="D233" s="1097"/>
      <c r="E233" s="1097"/>
      <c r="F233" s="1097"/>
      <c r="G233" s="1097"/>
      <c r="H233" s="1097"/>
      <c r="I233" s="1097"/>
    </row>
    <row r="234" spans="1:9" ht="24.75" customHeight="1">
      <c r="A234" s="1197" t="s">
        <v>213</v>
      </c>
      <c r="B234" s="1197"/>
      <c r="C234" s="1198" t="s">
        <v>194</v>
      </c>
      <c r="D234" s="1198"/>
      <c r="E234" s="1182">
        <v>0</v>
      </c>
      <c r="F234" s="1182"/>
      <c r="G234" s="1174">
        <f>ROUND((1/1200)*E234,2)</f>
        <v>0</v>
      </c>
      <c r="H234" s="1174"/>
      <c r="I234" s="1174"/>
    </row>
    <row r="235" spans="1:9" ht="24" customHeight="1">
      <c r="A235" s="1130" t="s">
        <v>239</v>
      </c>
      <c r="B235" s="1130"/>
      <c r="C235" s="1194" t="s">
        <v>191</v>
      </c>
      <c r="D235" s="1194"/>
      <c r="E235" s="1174">
        <f>I172</f>
        <v>3204.82</v>
      </c>
      <c r="F235" s="1174"/>
      <c r="G235" s="1174">
        <f>ROUND((1/1200)*E235,2)</f>
        <v>2.67</v>
      </c>
      <c r="H235" s="1174"/>
      <c r="I235" s="1174"/>
    </row>
    <row r="236" spans="1:9">
      <c r="A236" s="1178" t="s">
        <v>134</v>
      </c>
      <c r="B236" s="1178"/>
      <c r="C236" s="1178"/>
      <c r="D236" s="1178"/>
      <c r="E236" s="1178"/>
      <c r="F236" s="1178"/>
      <c r="G236" s="1177">
        <f>SUM(G234+G235)</f>
        <v>2.67</v>
      </c>
      <c r="H236" s="1177"/>
      <c r="I236" s="1177"/>
    </row>
    <row r="237" spans="1:9">
      <c r="A237" s="1200"/>
      <c r="B237" s="1200"/>
      <c r="C237" s="1200"/>
      <c r="D237" s="1200"/>
      <c r="E237" s="1200"/>
      <c r="F237" s="1200"/>
      <c r="G237" s="1200"/>
      <c r="H237" s="1200"/>
      <c r="I237" s="1200"/>
    </row>
    <row r="238" spans="1:9" ht="23.25" customHeight="1">
      <c r="A238" s="1197" t="s">
        <v>252</v>
      </c>
      <c r="B238" s="1197"/>
      <c r="C238" s="1198" t="s">
        <v>194</v>
      </c>
      <c r="D238" s="1198"/>
      <c r="E238" s="1182">
        <v>0</v>
      </c>
      <c r="F238" s="1182"/>
      <c r="G238" s="1174">
        <f>ROUND((1/1200)*E238,2)</f>
        <v>0</v>
      </c>
      <c r="H238" s="1174"/>
      <c r="I238" s="1174"/>
    </row>
    <row r="239" spans="1:9" ht="22.5" customHeight="1">
      <c r="A239" s="1068" t="s">
        <v>240</v>
      </c>
      <c r="B239" s="1068"/>
      <c r="C239" s="1194" t="s">
        <v>191</v>
      </c>
      <c r="D239" s="1194"/>
      <c r="E239" s="1201">
        <f>I172</f>
        <v>3204.82</v>
      </c>
      <c r="F239" s="1201"/>
      <c r="G239" s="1174">
        <f>ROUND((1/1200)*E239,2)</f>
        <v>2.67</v>
      </c>
      <c r="H239" s="1174"/>
      <c r="I239" s="1174"/>
    </row>
    <row r="240" spans="1:9">
      <c r="A240" s="1111" t="s">
        <v>134</v>
      </c>
      <c r="B240" s="1111"/>
      <c r="C240" s="1111"/>
      <c r="D240" s="1111"/>
      <c r="E240" s="1111"/>
      <c r="F240" s="1111"/>
      <c r="G240" s="1192">
        <f>SUM(G238+G239)</f>
        <v>2.67</v>
      </c>
      <c r="H240" s="1192"/>
      <c r="I240" s="1192"/>
    </row>
    <row r="241" spans="1:9">
      <c r="A241" s="1097"/>
      <c r="B241" s="1097"/>
      <c r="C241" s="1097"/>
      <c r="D241" s="1097"/>
      <c r="E241" s="1097"/>
      <c r="F241" s="1097"/>
      <c r="G241" s="1097"/>
      <c r="H241" s="1097"/>
      <c r="I241" s="1097"/>
    </row>
    <row r="242" spans="1:9" ht="36" customHeight="1">
      <c r="A242" s="927" t="s">
        <v>253</v>
      </c>
      <c r="B242" s="927"/>
      <c r="C242" s="1198" t="s">
        <v>197</v>
      </c>
      <c r="D242" s="1198"/>
      <c r="E242" s="1182">
        <v>0</v>
      </c>
      <c r="F242" s="1182"/>
      <c r="G242" s="1174">
        <f>ROUND((1/1200)*E242,2)</f>
        <v>0</v>
      </c>
      <c r="H242" s="1174"/>
      <c r="I242" s="1174"/>
    </row>
    <row r="243" spans="1:9" ht="39.75" customHeight="1">
      <c r="A243" s="1082" t="s">
        <v>241</v>
      </c>
      <c r="B243" s="1082"/>
      <c r="C243" s="1194" t="s">
        <v>198</v>
      </c>
      <c r="D243" s="1194"/>
      <c r="E243" s="1174">
        <f>I172</f>
        <v>3204.82</v>
      </c>
      <c r="F243" s="1174"/>
      <c r="G243" s="1174">
        <f>ROUND((1/100000)*E243,2)</f>
        <v>0.03</v>
      </c>
      <c r="H243" s="1174"/>
      <c r="I243" s="1174"/>
    </row>
    <row r="244" spans="1:9">
      <c r="A244" s="1178" t="s">
        <v>134</v>
      </c>
      <c r="B244" s="1178"/>
      <c r="C244" s="1178"/>
      <c r="D244" s="1178"/>
      <c r="E244" s="1178"/>
      <c r="F244" s="1178"/>
      <c r="G244" s="1177">
        <f>SUM(G242+G243)</f>
        <v>0.03</v>
      </c>
      <c r="H244" s="1177"/>
      <c r="I244" s="1177"/>
    </row>
    <row r="245" spans="1:9">
      <c r="A245" s="1097"/>
      <c r="B245" s="1097"/>
      <c r="C245" s="1097"/>
      <c r="D245" s="1097"/>
      <c r="E245" s="1097"/>
      <c r="F245" s="1097"/>
      <c r="G245" s="1097"/>
      <c r="H245" s="1097"/>
      <c r="I245" s="1097"/>
    </row>
    <row r="246" spans="1:9">
      <c r="A246" s="1082" t="s">
        <v>51</v>
      </c>
      <c r="B246" s="1082"/>
      <c r="C246" s="1082"/>
      <c r="D246" s="1082"/>
      <c r="E246" s="1082"/>
      <c r="F246" s="1082"/>
      <c r="G246" s="1082"/>
      <c r="H246" s="1082"/>
      <c r="I246" s="1082"/>
    </row>
    <row r="247" spans="1:9" ht="30" customHeight="1">
      <c r="A247" s="1082"/>
      <c r="B247" s="1082"/>
      <c r="C247" s="1082"/>
      <c r="D247" s="1082"/>
      <c r="E247" s="1082"/>
      <c r="F247" s="1082"/>
      <c r="G247" s="1082"/>
      <c r="H247" s="1082"/>
      <c r="I247" s="1082"/>
    </row>
    <row r="248" spans="1:9" ht="67.5">
      <c r="A248" s="192" t="s">
        <v>199</v>
      </c>
      <c r="B248" s="128" t="s">
        <v>200</v>
      </c>
      <c r="C248" s="128" t="s">
        <v>135</v>
      </c>
      <c r="D248" s="904" t="s">
        <v>147</v>
      </c>
      <c r="E248" s="904"/>
      <c r="F248" s="128" t="s">
        <v>52</v>
      </c>
      <c r="G248" s="128" t="s">
        <v>201</v>
      </c>
      <c r="H248" s="904" t="s">
        <v>332</v>
      </c>
      <c r="I248" s="904"/>
    </row>
    <row r="249" spans="1:9" ht="51">
      <c r="A249" s="190" t="s">
        <v>254</v>
      </c>
      <c r="B249" s="191" t="s">
        <v>202</v>
      </c>
      <c r="C249" s="193" t="s">
        <v>309</v>
      </c>
      <c r="D249" s="1202" t="s">
        <v>153</v>
      </c>
      <c r="E249" s="1202"/>
      <c r="F249" s="194">
        <f>ROUND((1/(30*110))*16*(1/191.4),7)</f>
        <v>2.5299999999999998E-5</v>
      </c>
      <c r="G249" s="178">
        <v>0</v>
      </c>
      <c r="H249" s="1174">
        <v>0</v>
      </c>
      <c r="I249" s="1174"/>
    </row>
    <row r="250" spans="1:9" ht="51">
      <c r="A250" s="190" t="s">
        <v>242</v>
      </c>
      <c r="B250" s="191" t="s">
        <v>203</v>
      </c>
      <c r="C250" s="193" t="s">
        <v>309</v>
      </c>
      <c r="D250" s="1202" t="s">
        <v>153</v>
      </c>
      <c r="E250" s="1202"/>
      <c r="F250" s="194">
        <f>ROUND((1/110)*16*(1/191.4),7)</f>
        <v>7.6000000000000004E-4</v>
      </c>
      <c r="G250" s="178">
        <f>I172</f>
        <v>3204.82</v>
      </c>
      <c r="H250" s="1174">
        <f>ROUND(F250*G250,2)</f>
        <v>2.44</v>
      </c>
      <c r="I250" s="1174"/>
    </row>
    <row r="251" spans="1:9">
      <c r="A251" s="1178" t="s">
        <v>134</v>
      </c>
      <c r="B251" s="1178"/>
      <c r="C251" s="1178"/>
      <c r="D251" s="1178"/>
      <c r="E251" s="1178"/>
      <c r="F251" s="1178"/>
      <c r="G251" s="1178"/>
      <c r="H251" s="1174">
        <f>SUM(H249+H250)</f>
        <v>2.44</v>
      </c>
      <c r="I251" s="1174"/>
    </row>
    <row r="252" spans="1:9">
      <c r="A252" s="1203"/>
      <c r="B252" s="1203"/>
      <c r="C252" s="1203"/>
      <c r="D252" s="1203"/>
      <c r="E252" s="1203"/>
      <c r="F252" s="1203"/>
      <c r="G252" s="1203"/>
      <c r="H252" s="1203"/>
      <c r="I252" s="1203"/>
    </row>
    <row r="253" spans="1:9" ht="51">
      <c r="A253" s="190" t="s">
        <v>255</v>
      </c>
      <c r="B253" s="195" t="s">
        <v>310</v>
      </c>
      <c r="C253" s="193" t="s">
        <v>309</v>
      </c>
      <c r="D253" s="1202" t="s">
        <v>153</v>
      </c>
      <c r="E253" s="1202"/>
      <c r="F253" s="194">
        <f>ROUND((1/(30*220))*16*(1/191.4),7)</f>
        <v>1.27E-5</v>
      </c>
      <c r="G253" s="178">
        <v>0</v>
      </c>
      <c r="H253" s="1174">
        <v>0</v>
      </c>
      <c r="I253" s="1174"/>
    </row>
    <row r="254" spans="1:9" ht="51">
      <c r="A254" s="190" t="s">
        <v>243</v>
      </c>
      <c r="B254" s="191" t="s">
        <v>205</v>
      </c>
      <c r="C254" s="193" t="s">
        <v>309</v>
      </c>
      <c r="D254" s="1202" t="s">
        <v>153</v>
      </c>
      <c r="E254" s="1202"/>
      <c r="F254" s="194">
        <f>ROUND((1/220)*16*(1/191.4),7)</f>
        <v>3.8000000000000002E-4</v>
      </c>
      <c r="G254" s="178">
        <f>I172</f>
        <v>3204.82</v>
      </c>
      <c r="H254" s="1174">
        <f>ROUND(F254*G254,2)</f>
        <v>1.22</v>
      </c>
      <c r="I254" s="1174"/>
    </row>
    <row r="255" spans="1:9">
      <c r="A255" s="1178" t="s">
        <v>134</v>
      </c>
      <c r="B255" s="1178"/>
      <c r="C255" s="1178"/>
      <c r="D255" s="1178"/>
      <c r="E255" s="1178"/>
      <c r="F255" s="1178"/>
      <c r="G255" s="1178"/>
      <c r="H255" s="1174">
        <f>SUM(H253+H254)</f>
        <v>1.22</v>
      </c>
      <c r="I255" s="1174"/>
    </row>
    <row r="256" spans="1:9">
      <c r="A256" s="1203"/>
      <c r="B256" s="1203"/>
      <c r="C256" s="1203"/>
      <c r="D256" s="1203"/>
      <c r="E256" s="1203"/>
      <c r="F256" s="1203"/>
      <c r="G256" s="1203"/>
      <c r="H256" s="1203"/>
      <c r="I256" s="1203"/>
    </row>
    <row r="257" spans="1:9" ht="25.5">
      <c r="A257" s="190" t="s">
        <v>256</v>
      </c>
      <c r="B257" s="191" t="s">
        <v>204</v>
      </c>
      <c r="C257" s="193" t="s">
        <v>309</v>
      </c>
      <c r="D257" s="1202" t="s">
        <v>153</v>
      </c>
      <c r="E257" s="1202"/>
      <c r="F257" s="194">
        <f>ROUND((1/(30*220))*16*(1/191.4),7)</f>
        <v>1.27E-5</v>
      </c>
      <c r="G257" s="178">
        <v>0</v>
      </c>
      <c r="H257" s="1174">
        <v>0</v>
      </c>
      <c r="I257" s="1174"/>
    </row>
    <row r="258" spans="1:9" ht="25.5">
      <c r="A258" s="190" t="s">
        <v>244</v>
      </c>
      <c r="B258" s="196" t="s">
        <v>205</v>
      </c>
      <c r="C258" s="197" t="s">
        <v>309</v>
      </c>
      <c r="D258" s="1202" t="s">
        <v>153</v>
      </c>
      <c r="E258" s="1202"/>
      <c r="F258" s="194">
        <f>ROUND((1/220)*16*(1/191.4),7)</f>
        <v>3.8000000000000002E-4</v>
      </c>
      <c r="G258" s="178">
        <f>I172</f>
        <v>3204.82</v>
      </c>
      <c r="H258" s="1174">
        <f>ROUND(F258*G258,2)</f>
        <v>1.22</v>
      </c>
      <c r="I258" s="1174"/>
    </row>
    <row r="259" spans="1:9">
      <c r="A259" s="1111" t="s">
        <v>134</v>
      </c>
      <c r="B259" s="1111"/>
      <c r="C259" s="1111"/>
      <c r="D259" s="1111"/>
      <c r="E259" s="1111"/>
      <c r="F259" s="1111"/>
      <c r="G259" s="1111"/>
      <c r="H259" s="1204">
        <f>SUM(H257+H258)</f>
        <v>1.22</v>
      </c>
      <c r="I259" s="1204"/>
    </row>
    <row r="260" spans="1:9">
      <c r="A260" s="1115"/>
      <c r="B260" s="1115"/>
      <c r="C260" s="1115"/>
      <c r="D260" s="1115"/>
      <c r="E260" s="1115"/>
      <c r="F260" s="1115"/>
      <c r="G260" s="1115"/>
      <c r="H260" s="1115"/>
      <c r="I260" s="1115"/>
    </row>
    <row r="261" spans="1:9">
      <c r="A261" s="932" t="s">
        <v>222</v>
      </c>
      <c r="B261" s="932"/>
      <c r="C261" s="932"/>
      <c r="D261" s="932"/>
      <c r="E261" s="932"/>
      <c r="F261" s="932"/>
      <c r="G261" s="932"/>
      <c r="H261" s="932"/>
      <c r="I261" s="198"/>
    </row>
    <row r="262" spans="1:9" ht="63.75">
      <c r="A262" s="199" t="s">
        <v>163</v>
      </c>
      <c r="B262" s="199" t="s">
        <v>217</v>
      </c>
      <c r="C262" s="199" t="s">
        <v>218</v>
      </c>
      <c r="D262" s="1205" t="s">
        <v>219</v>
      </c>
      <c r="E262" s="1205"/>
      <c r="F262" s="199" t="s">
        <v>53</v>
      </c>
      <c r="G262" s="199" t="s">
        <v>220</v>
      </c>
      <c r="H262" s="1205" t="s">
        <v>221</v>
      </c>
      <c r="I262" s="1205"/>
    </row>
    <row r="263" spans="1:9">
      <c r="A263" s="200" t="s">
        <v>155</v>
      </c>
      <c r="B263" s="196" t="s">
        <v>313</v>
      </c>
      <c r="C263" s="197" t="s">
        <v>312</v>
      </c>
      <c r="D263" s="1206" t="s">
        <v>316</v>
      </c>
      <c r="E263" s="1206"/>
      <c r="F263" s="201">
        <f>ROUND((1/(4*110))*8*(1/1148.4),7)</f>
        <v>1.5800000000000001E-5</v>
      </c>
      <c r="G263" s="202">
        <v>0</v>
      </c>
      <c r="H263" s="1207">
        <f>ROUND(F263*G263,2)</f>
        <v>0</v>
      </c>
      <c r="I263" s="1207"/>
    </row>
    <row r="264" spans="1:9">
      <c r="A264" s="200" t="s">
        <v>154</v>
      </c>
      <c r="B264" s="196" t="s">
        <v>203</v>
      </c>
      <c r="C264" s="197" t="s">
        <v>312</v>
      </c>
      <c r="D264" s="1208" t="s">
        <v>316</v>
      </c>
      <c r="E264" s="1208"/>
      <c r="F264" s="201">
        <f>ROUND((1/110)*8*(1/1148.4),7)</f>
        <v>6.3299999999999994E-5</v>
      </c>
      <c r="G264" s="202">
        <f>I172</f>
        <v>3204.82</v>
      </c>
      <c r="H264" s="1207">
        <f>ROUND(F264*G264,2)</f>
        <v>0.2</v>
      </c>
      <c r="I264" s="1207"/>
    </row>
    <row r="265" spans="1:9">
      <c r="A265" s="1111" t="s">
        <v>134</v>
      </c>
      <c r="B265" s="1111"/>
      <c r="C265" s="1111"/>
      <c r="D265" s="1111"/>
      <c r="E265" s="1111"/>
      <c r="F265" s="1111"/>
      <c r="G265" s="1111"/>
      <c r="H265" s="1204">
        <f>SUM(H263+H264)</f>
        <v>0.2</v>
      </c>
      <c r="I265" s="1204"/>
    </row>
    <row r="266" spans="1:9">
      <c r="A266" s="1203"/>
      <c r="B266" s="1203"/>
      <c r="C266" s="1203"/>
      <c r="D266" s="1203"/>
      <c r="E266" s="1203"/>
      <c r="F266" s="1203"/>
      <c r="G266" s="1203"/>
      <c r="H266" s="1203"/>
      <c r="I266" s="1203"/>
    </row>
    <row r="267" spans="1:9">
      <c r="A267" s="1209" t="s">
        <v>206</v>
      </c>
      <c r="B267" s="1209"/>
      <c r="C267" s="1209"/>
      <c r="D267" s="1209"/>
      <c r="E267" s="1209"/>
      <c r="F267" s="1209"/>
      <c r="G267" s="1209"/>
      <c r="H267" s="1209"/>
      <c r="I267" s="203"/>
    </row>
    <row r="268" spans="1:9">
      <c r="A268" s="1209"/>
      <c r="B268" s="1209"/>
      <c r="C268" s="1209"/>
      <c r="D268" s="1209"/>
      <c r="E268" s="1209"/>
      <c r="F268" s="1209"/>
      <c r="G268" s="1209"/>
      <c r="H268" s="1209"/>
      <c r="I268" s="204"/>
    </row>
    <row r="269" spans="1:9" ht="39.75" customHeight="1">
      <c r="A269" s="904" t="s">
        <v>163</v>
      </c>
      <c r="B269" s="904"/>
      <c r="C269" s="1136" t="s">
        <v>74</v>
      </c>
      <c r="D269" s="1136"/>
      <c r="E269" s="904" t="s">
        <v>75</v>
      </c>
      <c r="F269" s="904"/>
      <c r="G269" s="904" t="s">
        <v>150</v>
      </c>
      <c r="H269" s="904"/>
      <c r="I269" s="904"/>
    </row>
    <row r="270" spans="1:9">
      <c r="A270" s="1210" t="s">
        <v>155</v>
      </c>
      <c r="B270" s="1210"/>
      <c r="C270" s="1211" t="s">
        <v>207</v>
      </c>
      <c r="D270" s="1211"/>
      <c r="E270" s="1212">
        <v>0</v>
      </c>
      <c r="F270" s="1212"/>
      <c r="G270" s="1174">
        <v>0</v>
      </c>
      <c r="H270" s="1174"/>
      <c r="I270" s="1174"/>
    </row>
    <row r="271" spans="1:9">
      <c r="A271" s="1210" t="s">
        <v>154</v>
      </c>
      <c r="B271" s="1210"/>
      <c r="C271" s="1213" t="s">
        <v>187</v>
      </c>
      <c r="D271" s="1213"/>
      <c r="E271" s="1212">
        <v>0</v>
      </c>
      <c r="F271" s="1212"/>
      <c r="G271" s="1214">
        <v>0</v>
      </c>
      <c r="H271" s="1214"/>
      <c r="I271" s="1214"/>
    </row>
    <row r="272" spans="1:9">
      <c r="A272" s="1111" t="s">
        <v>134</v>
      </c>
      <c r="B272" s="1111"/>
      <c r="C272" s="1111"/>
      <c r="D272" s="1111"/>
      <c r="E272" s="1111"/>
      <c r="F272" s="1111"/>
      <c r="G272" s="1215">
        <f>SUM(G270+G271)</f>
        <v>0</v>
      </c>
      <c r="H272" s="1215"/>
      <c r="I272" s="1215"/>
    </row>
    <row r="273" spans="1:9">
      <c r="A273" s="1216"/>
      <c r="B273" s="1216"/>
      <c r="C273" s="1216"/>
      <c r="D273" s="1216"/>
      <c r="E273" s="1216"/>
      <c r="F273" s="1216"/>
      <c r="G273" s="1216"/>
      <c r="H273" s="1216"/>
      <c r="I273" s="1216"/>
    </row>
    <row r="274" spans="1:9">
      <c r="A274" s="953" t="s">
        <v>54</v>
      </c>
      <c r="B274" s="953"/>
      <c r="C274" s="953"/>
      <c r="D274" s="953"/>
      <c r="E274" s="953"/>
      <c r="F274" s="953"/>
      <c r="G274" s="953"/>
      <c r="H274" s="953"/>
      <c r="I274" s="953"/>
    </row>
    <row r="275" spans="1:9">
      <c r="A275" s="907" t="s">
        <v>111</v>
      </c>
      <c r="B275" s="907"/>
      <c r="C275" s="907"/>
      <c r="D275" s="907"/>
      <c r="E275" s="907"/>
      <c r="F275" s="907"/>
      <c r="G275" s="907"/>
      <c r="H275" s="907"/>
      <c r="I275" s="907"/>
    </row>
    <row r="276" spans="1:9">
      <c r="A276" s="907"/>
      <c r="B276" s="907"/>
      <c r="C276" s="907"/>
      <c r="D276" s="907"/>
      <c r="E276" s="907"/>
      <c r="F276" s="907"/>
      <c r="G276" s="907"/>
      <c r="H276" s="907"/>
      <c r="I276" s="907"/>
    </row>
    <row r="277" spans="1:9" ht="25.5">
      <c r="A277" s="948" t="s">
        <v>136</v>
      </c>
      <c r="B277" s="948"/>
      <c r="C277" s="948"/>
      <c r="D277" s="949" t="s">
        <v>137</v>
      </c>
      <c r="E277" s="949"/>
      <c r="F277" s="132" t="s">
        <v>55</v>
      </c>
      <c r="G277" s="1217" t="s">
        <v>56</v>
      </c>
      <c r="H277" s="1217"/>
      <c r="I277" s="1217"/>
    </row>
    <row r="278" spans="1:9">
      <c r="A278" s="907" t="s">
        <v>57</v>
      </c>
      <c r="B278" s="907"/>
      <c r="C278" s="907"/>
      <c r="D278" s="931">
        <f>G198</f>
        <v>5.34</v>
      </c>
      <c r="E278" s="931"/>
      <c r="F278" s="205">
        <f t="shared" ref="F278:F284" si="1">H14</f>
        <v>0</v>
      </c>
      <c r="G278" s="926">
        <f t="shared" ref="G278:G283" si="2">ROUND(D278*F278,2)</f>
        <v>0</v>
      </c>
      <c r="H278" s="926"/>
      <c r="I278" s="926"/>
    </row>
    <row r="279" spans="1:9">
      <c r="A279" s="907" t="s">
        <v>58</v>
      </c>
      <c r="B279" s="907"/>
      <c r="C279" s="907"/>
      <c r="D279" s="931">
        <f>G202</f>
        <v>5.34</v>
      </c>
      <c r="E279" s="931"/>
      <c r="F279" s="205">
        <f t="shared" si="1"/>
        <v>378.92999999999995</v>
      </c>
      <c r="G279" s="926">
        <f>ROUND(D279*F279,2)</f>
        <v>2023.49</v>
      </c>
      <c r="H279" s="926"/>
      <c r="I279" s="926"/>
    </row>
    <row r="280" spans="1:9">
      <c r="A280" s="907" t="s">
        <v>59</v>
      </c>
      <c r="B280" s="907"/>
      <c r="C280" s="907"/>
      <c r="D280" s="931">
        <v>0</v>
      </c>
      <c r="E280" s="931"/>
      <c r="F280" s="205">
        <f t="shared" si="1"/>
        <v>0</v>
      </c>
      <c r="G280" s="926">
        <f t="shared" si="2"/>
        <v>0</v>
      </c>
      <c r="H280" s="926"/>
      <c r="I280" s="926"/>
    </row>
    <row r="281" spans="1:9">
      <c r="A281" s="907" t="s">
        <v>60</v>
      </c>
      <c r="B281" s="907"/>
      <c r="C281" s="907"/>
      <c r="D281" s="931">
        <f>G210</f>
        <v>2.37</v>
      </c>
      <c r="E281" s="931"/>
      <c r="F281" s="205">
        <f t="shared" si="1"/>
        <v>66.02</v>
      </c>
      <c r="G281" s="942">
        <f>ROUND(D281*F281,2)</f>
        <v>156.47</v>
      </c>
      <c r="H281" s="942"/>
      <c r="I281" s="942"/>
    </row>
    <row r="282" spans="1:9">
      <c r="A282" s="907" t="s">
        <v>61</v>
      </c>
      <c r="B282" s="907"/>
      <c r="C282" s="907"/>
      <c r="D282" s="931">
        <v>0</v>
      </c>
      <c r="E282" s="931"/>
      <c r="F282" s="205">
        <f t="shared" si="1"/>
        <v>0</v>
      </c>
      <c r="G282" s="926">
        <f t="shared" si="2"/>
        <v>0</v>
      </c>
      <c r="H282" s="926"/>
      <c r="I282" s="926"/>
    </row>
    <row r="283" spans="1:9" ht="25.5" customHeight="1">
      <c r="A283" s="932" t="s">
        <v>62</v>
      </c>
      <c r="B283" s="932"/>
      <c r="C283" s="932"/>
      <c r="D283" s="931">
        <f>G218</f>
        <v>4.01</v>
      </c>
      <c r="E283" s="931"/>
      <c r="F283" s="205">
        <f t="shared" si="1"/>
        <v>522.54999999999995</v>
      </c>
      <c r="G283" s="926">
        <f t="shared" si="2"/>
        <v>2095.4299999999998</v>
      </c>
      <c r="H283" s="926"/>
      <c r="I283" s="926"/>
    </row>
    <row r="284" spans="1:9">
      <c r="A284" s="922" t="s">
        <v>173</v>
      </c>
      <c r="B284" s="922"/>
      <c r="C284" s="922"/>
      <c r="D284" s="922"/>
      <c r="E284" s="922"/>
      <c r="F284" s="206">
        <f t="shared" si="1"/>
        <v>967.5</v>
      </c>
      <c r="G284" s="923">
        <f>SUM(G278:H283)</f>
        <v>4275.3899999999994</v>
      </c>
      <c r="H284" s="923"/>
      <c r="I284" s="923"/>
    </row>
    <row r="285" spans="1:9">
      <c r="A285" s="934"/>
      <c r="B285" s="934"/>
      <c r="C285" s="934"/>
      <c r="D285" s="934"/>
      <c r="E285" s="934"/>
      <c r="F285" s="934"/>
      <c r="G285" s="934"/>
      <c r="H285" s="934"/>
      <c r="I285" s="934"/>
    </row>
    <row r="286" spans="1:9">
      <c r="A286" s="935" t="s">
        <v>63</v>
      </c>
      <c r="B286" s="935"/>
      <c r="C286" s="935"/>
      <c r="D286" s="925">
        <f>G223</f>
        <v>2.67</v>
      </c>
      <c r="E286" s="925"/>
      <c r="F286" s="207">
        <f t="shared" ref="F286:F292" si="3">H22</f>
        <v>273.44</v>
      </c>
      <c r="G286" s="926">
        <f t="shared" ref="G286:G291" si="4">ROUND(D286*F286,2)</f>
        <v>730.08</v>
      </c>
      <c r="H286" s="926"/>
      <c r="I286" s="926"/>
    </row>
    <row r="287" spans="1:9">
      <c r="A287" s="932" t="s">
        <v>64</v>
      </c>
      <c r="B287" s="932"/>
      <c r="C287" s="932"/>
      <c r="D287" s="931">
        <f>G227</f>
        <v>0.53</v>
      </c>
      <c r="E287" s="931"/>
      <c r="F287" s="208">
        <f t="shared" si="3"/>
        <v>1326.72</v>
      </c>
      <c r="G287" s="926">
        <f t="shared" si="4"/>
        <v>703.16</v>
      </c>
      <c r="H287" s="926"/>
      <c r="I287" s="926"/>
    </row>
    <row r="288" spans="1:9">
      <c r="A288" s="932" t="s">
        <v>65</v>
      </c>
      <c r="B288" s="932"/>
      <c r="C288" s="932"/>
      <c r="D288" s="931">
        <f>G231</f>
        <v>2.67</v>
      </c>
      <c r="E288" s="931"/>
      <c r="F288" s="208">
        <f t="shared" si="3"/>
        <v>0</v>
      </c>
      <c r="G288" s="926">
        <f t="shared" si="4"/>
        <v>0</v>
      </c>
      <c r="H288" s="926"/>
      <c r="I288" s="926"/>
    </row>
    <row r="289" spans="1:9" ht="22.5" customHeight="1">
      <c r="A289" s="932" t="s">
        <v>66</v>
      </c>
      <c r="B289" s="932"/>
      <c r="C289" s="932"/>
      <c r="D289" s="931">
        <f>G235</f>
        <v>2.67</v>
      </c>
      <c r="E289" s="931"/>
      <c r="F289" s="208">
        <f t="shared" si="3"/>
        <v>0</v>
      </c>
      <c r="G289" s="926">
        <f t="shared" si="4"/>
        <v>0</v>
      </c>
      <c r="H289" s="926"/>
      <c r="I289" s="926"/>
    </row>
    <row r="290" spans="1:9" ht="22.5" customHeight="1">
      <c r="A290" s="932" t="s">
        <v>67</v>
      </c>
      <c r="B290" s="932"/>
      <c r="C290" s="932"/>
      <c r="D290" s="931">
        <f>G239</f>
        <v>2.67</v>
      </c>
      <c r="E290" s="931"/>
      <c r="F290" s="208">
        <f t="shared" si="3"/>
        <v>0</v>
      </c>
      <c r="G290" s="926">
        <f t="shared" si="4"/>
        <v>0</v>
      </c>
      <c r="H290" s="926"/>
      <c r="I290" s="926"/>
    </row>
    <row r="291" spans="1:9" ht="22.5" customHeight="1">
      <c r="A291" s="932" t="s">
        <v>68</v>
      </c>
      <c r="B291" s="932"/>
      <c r="C291" s="932"/>
      <c r="D291" s="931">
        <f>G243</f>
        <v>0.03</v>
      </c>
      <c r="E291" s="931"/>
      <c r="F291" s="208">
        <f t="shared" si="3"/>
        <v>0</v>
      </c>
      <c r="G291" s="926">
        <f t="shared" si="4"/>
        <v>0</v>
      </c>
      <c r="H291" s="926"/>
      <c r="I291" s="926"/>
    </row>
    <row r="292" spans="1:9">
      <c r="A292" s="922" t="s">
        <v>180</v>
      </c>
      <c r="B292" s="922"/>
      <c r="C292" s="922"/>
      <c r="D292" s="922"/>
      <c r="E292" s="922"/>
      <c r="F292" s="209">
        <f t="shared" si="3"/>
        <v>1600.16</v>
      </c>
      <c r="G292" s="923">
        <f>SUM(G286:H291)</f>
        <v>1433.24</v>
      </c>
      <c r="H292" s="923"/>
      <c r="I292" s="923"/>
    </row>
    <row r="293" spans="1:9">
      <c r="A293" s="918"/>
      <c r="B293" s="918"/>
      <c r="C293" s="918"/>
      <c r="D293" s="918"/>
      <c r="E293" s="918"/>
      <c r="F293" s="918"/>
      <c r="G293" s="918"/>
      <c r="H293" s="918"/>
      <c r="I293" s="918"/>
    </row>
    <row r="294" spans="1:9">
      <c r="A294" s="1218" t="s">
        <v>69</v>
      </c>
      <c r="B294" s="1218"/>
      <c r="C294" s="1218"/>
      <c r="D294" s="925">
        <f>H250</f>
        <v>2.44</v>
      </c>
      <c r="E294" s="925"/>
      <c r="F294" s="210">
        <f>H30</f>
        <v>161.56</v>
      </c>
      <c r="G294" s="926">
        <f>ROUND(D294*F294,2)</f>
        <v>394.21</v>
      </c>
      <c r="H294" s="926"/>
      <c r="I294" s="926"/>
    </row>
    <row r="295" spans="1:9">
      <c r="A295" s="899" t="s">
        <v>70</v>
      </c>
      <c r="B295" s="899"/>
      <c r="C295" s="899"/>
      <c r="D295" s="931">
        <f>H254</f>
        <v>1.22</v>
      </c>
      <c r="E295" s="931"/>
      <c r="F295" s="205">
        <f>H31</f>
        <v>177.82</v>
      </c>
      <c r="G295" s="926">
        <f>ROUND((D295*F295),2)</f>
        <v>216.94</v>
      </c>
      <c r="H295" s="926"/>
      <c r="I295" s="926"/>
    </row>
    <row r="296" spans="1:9">
      <c r="A296" s="899" t="s">
        <v>71</v>
      </c>
      <c r="B296" s="899"/>
      <c r="C296" s="899"/>
      <c r="D296" s="931">
        <f>H258</f>
        <v>1.22</v>
      </c>
      <c r="E296" s="931"/>
      <c r="F296" s="205">
        <f>H32</f>
        <v>655.9</v>
      </c>
      <c r="G296" s="926">
        <f>ROUND((D296*F296),2)</f>
        <v>800.2</v>
      </c>
      <c r="H296" s="926"/>
      <c r="I296" s="926"/>
    </row>
    <row r="297" spans="1:9">
      <c r="A297" s="922" t="s">
        <v>210</v>
      </c>
      <c r="B297" s="922"/>
      <c r="C297" s="922"/>
      <c r="D297" s="922"/>
      <c r="E297" s="922"/>
      <c r="F297" s="206">
        <f>H33</f>
        <v>995.28</v>
      </c>
      <c r="G297" s="923">
        <f>SUM(G294:H296)</f>
        <v>1411.35</v>
      </c>
      <c r="H297" s="923"/>
      <c r="I297" s="923"/>
    </row>
    <row r="298" spans="1:9">
      <c r="A298" s="918"/>
      <c r="B298" s="918"/>
      <c r="C298" s="918"/>
      <c r="D298" s="918"/>
      <c r="E298" s="918"/>
      <c r="F298" s="918"/>
      <c r="G298" s="918"/>
      <c r="H298" s="918"/>
      <c r="I298" s="918"/>
    </row>
    <row r="299" spans="1:9">
      <c r="A299" s="927" t="s">
        <v>72</v>
      </c>
      <c r="B299" s="927"/>
      <c r="C299" s="927"/>
      <c r="D299" s="925">
        <f>H264</f>
        <v>0.2</v>
      </c>
      <c r="E299" s="925"/>
      <c r="F299" s="211">
        <f>H36</f>
        <v>0</v>
      </c>
      <c r="G299" s="917">
        <f>ROUND((D299*F299),2)</f>
        <v>0</v>
      </c>
      <c r="H299" s="917"/>
      <c r="I299" s="917"/>
    </row>
    <row r="300" spans="1:9">
      <c r="A300" s="922" t="s">
        <v>223</v>
      </c>
      <c r="B300" s="922"/>
      <c r="C300" s="922"/>
      <c r="D300" s="922"/>
      <c r="E300" s="922"/>
      <c r="F300" s="206">
        <f>F299</f>
        <v>0</v>
      </c>
      <c r="G300" s="923">
        <f>G299</f>
        <v>0</v>
      </c>
      <c r="H300" s="923"/>
      <c r="I300" s="923"/>
    </row>
    <row r="301" spans="1:9">
      <c r="A301" s="918"/>
      <c r="B301" s="918"/>
      <c r="C301" s="918"/>
      <c r="D301" s="918"/>
      <c r="E301" s="918"/>
      <c r="F301" s="918"/>
      <c r="G301" s="918"/>
      <c r="H301" s="918"/>
      <c r="I301" s="918"/>
    </row>
    <row r="302" spans="1:9">
      <c r="A302" s="924" t="s">
        <v>73</v>
      </c>
      <c r="B302" s="924"/>
      <c r="C302" s="924"/>
      <c r="D302" s="1219"/>
      <c r="E302" s="1219"/>
      <c r="F302" s="210">
        <v>0</v>
      </c>
      <c r="G302" s="926">
        <v>0</v>
      </c>
      <c r="H302" s="926"/>
      <c r="I302" s="926"/>
    </row>
    <row r="303" spans="1:9">
      <c r="A303" s="916" t="s">
        <v>211</v>
      </c>
      <c r="B303" s="916"/>
      <c r="C303" s="916"/>
      <c r="D303" s="916"/>
      <c r="E303" s="916"/>
      <c r="F303" s="212">
        <f>H39</f>
        <v>0</v>
      </c>
      <c r="G303" s="917">
        <f>H302</f>
        <v>0</v>
      </c>
      <c r="H303" s="917"/>
      <c r="I303" s="917"/>
    </row>
    <row r="304" spans="1:9">
      <c r="A304" s="1220"/>
      <c r="B304" s="1220"/>
      <c r="C304" s="1220"/>
      <c r="D304" s="1220"/>
      <c r="E304" s="1220"/>
      <c r="F304" s="1220"/>
      <c r="G304" s="1220"/>
      <c r="H304" s="1220"/>
      <c r="I304" s="1220"/>
    </row>
    <row r="305" spans="1:12">
      <c r="A305" s="919" t="s">
        <v>134</v>
      </c>
      <c r="B305" s="919"/>
      <c r="C305" s="919"/>
      <c r="D305" s="919"/>
      <c r="E305" s="919"/>
      <c r="F305" s="211">
        <f>ROUND(F284+F292+F297+F300+F303,2)</f>
        <v>3562.94</v>
      </c>
      <c r="G305" s="917">
        <f>SUM(G284+G292+G297+G300+G303)</f>
        <v>7119.98</v>
      </c>
      <c r="H305" s="917"/>
      <c r="I305" s="917"/>
    </row>
    <row r="306" spans="1:12">
      <c r="A306" s="912"/>
      <c r="B306" s="912"/>
      <c r="C306" s="912"/>
      <c r="D306" s="912"/>
      <c r="E306" s="912"/>
      <c r="F306" s="912"/>
      <c r="G306" s="912"/>
      <c r="H306" s="912"/>
      <c r="I306" s="912"/>
    </row>
    <row r="307" spans="1:12" ht="18">
      <c r="A307" s="913" t="s">
        <v>124</v>
      </c>
      <c r="B307" s="913"/>
      <c r="C307" s="913"/>
      <c r="D307" s="913"/>
      <c r="E307" s="913"/>
      <c r="F307" s="913"/>
      <c r="G307" s="914">
        <f>G305</f>
        <v>7119.98</v>
      </c>
      <c r="H307" s="914"/>
      <c r="I307" s="914"/>
    </row>
    <row r="308" spans="1:12" ht="18">
      <c r="A308" s="915"/>
      <c r="B308" s="915"/>
      <c r="C308" s="915"/>
      <c r="D308" s="915"/>
      <c r="E308" s="915"/>
      <c r="F308" s="915"/>
      <c r="G308" s="915"/>
      <c r="H308" s="915"/>
      <c r="I308" s="915"/>
    </row>
    <row r="309" spans="1:12" ht="18">
      <c r="A309" s="920" t="s">
        <v>314</v>
      </c>
      <c r="B309" s="920"/>
      <c r="C309" s="920"/>
      <c r="D309" s="920"/>
      <c r="E309" s="920"/>
      <c r="F309" s="920"/>
      <c r="G309" s="921">
        <f>$H$11</f>
        <v>12</v>
      </c>
      <c r="H309" s="921"/>
      <c r="I309" s="921"/>
    </row>
    <row r="310" spans="1:12" ht="18">
      <c r="A310" s="909"/>
      <c r="B310" s="909"/>
      <c r="C310" s="909"/>
      <c r="D310" s="909"/>
      <c r="E310" s="909"/>
      <c r="F310" s="909"/>
      <c r="G310" s="909"/>
      <c r="H310" s="909"/>
      <c r="I310" s="909"/>
    </row>
    <row r="311" spans="1:12" ht="18">
      <c r="A311" s="910" t="s">
        <v>315</v>
      </c>
      <c r="B311" s="910"/>
      <c r="C311" s="910"/>
      <c r="D311" s="910"/>
      <c r="E311" s="910"/>
      <c r="F311" s="910"/>
      <c r="G311" s="1221">
        <f>ROUND(G305*G309,2)</f>
        <v>85439.76</v>
      </c>
      <c r="H311" s="1221"/>
      <c r="I311" s="1221"/>
      <c r="L311">
        <f>7119.98+3612</f>
        <v>10731.98</v>
      </c>
    </row>
    <row r="312" spans="1:12">
      <c r="A312" s="901"/>
      <c r="B312" s="901"/>
      <c r="C312" s="901"/>
      <c r="D312" s="901"/>
      <c r="E312" s="901"/>
      <c r="F312" s="901"/>
      <c r="G312" s="901"/>
      <c r="H312" s="901"/>
      <c r="I312" s="901"/>
    </row>
    <row r="313" spans="1:12">
      <c r="A313" s="902" t="s">
        <v>320</v>
      </c>
      <c r="B313" s="902"/>
      <c r="C313" s="902"/>
      <c r="D313" s="902"/>
      <c r="E313" s="902"/>
      <c r="F313" s="902"/>
      <c r="G313" s="902"/>
      <c r="H313" s="902"/>
      <c r="I313" s="902"/>
      <c r="L313">
        <f>85439.76+43344</f>
        <v>128783.76</v>
      </c>
    </row>
    <row r="314" spans="1:12">
      <c r="A314" s="903" t="s">
        <v>166</v>
      </c>
      <c r="B314" s="903"/>
      <c r="C314" s="903"/>
      <c r="D314" s="903"/>
      <c r="E314" s="903"/>
      <c r="F314" s="903"/>
      <c r="G314" s="903"/>
      <c r="H314" s="904" t="s">
        <v>158</v>
      </c>
      <c r="I314" s="904"/>
    </row>
    <row r="315" spans="1:12">
      <c r="A315" s="903"/>
      <c r="B315" s="903"/>
      <c r="C315" s="903"/>
      <c r="D315" s="903"/>
      <c r="E315" s="903"/>
      <c r="F315" s="903"/>
      <c r="G315" s="903"/>
      <c r="H315" s="904"/>
      <c r="I315" s="904"/>
    </row>
    <row r="316" spans="1:12">
      <c r="A316" s="895" t="s">
        <v>154</v>
      </c>
      <c r="B316" s="895"/>
      <c r="C316" s="895"/>
      <c r="D316" s="895"/>
      <c r="E316" s="895"/>
      <c r="F316" s="895"/>
      <c r="G316" s="895"/>
      <c r="H316" s="896"/>
      <c r="I316" s="896"/>
    </row>
    <row r="317" spans="1:12">
      <c r="A317" s="895" t="s">
        <v>155</v>
      </c>
      <c r="B317" s="895"/>
      <c r="C317" s="895"/>
      <c r="D317" s="895"/>
      <c r="E317" s="895"/>
      <c r="F317" s="895"/>
      <c r="G317" s="895"/>
      <c r="H317" s="896"/>
      <c r="I317" s="896"/>
    </row>
    <row r="318" spans="1:12">
      <c r="A318" s="899"/>
      <c r="B318" s="899"/>
      <c r="C318" s="899"/>
      <c r="D318" s="899"/>
      <c r="E318" s="899"/>
      <c r="F318" s="899"/>
      <c r="G318" s="899"/>
      <c r="H318" s="899"/>
      <c r="I318" s="899"/>
    </row>
    <row r="319" spans="1:12">
      <c r="A319" s="900"/>
      <c r="B319" s="900"/>
      <c r="C319" s="900"/>
      <c r="D319" s="900"/>
      <c r="E319" s="900"/>
      <c r="F319" s="900"/>
      <c r="G319" s="900"/>
      <c r="H319" s="900"/>
      <c r="I319" s="900"/>
    </row>
    <row r="320" spans="1:12">
      <c r="A320" s="900"/>
      <c r="B320" s="900"/>
      <c r="C320" s="900"/>
      <c r="D320" s="900"/>
      <c r="E320" s="900"/>
      <c r="F320" s="900"/>
      <c r="G320" s="900"/>
      <c r="H320" s="900"/>
      <c r="I320" s="900"/>
    </row>
    <row r="321" spans="1:9">
      <c r="A321" s="908" t="s">
        <v>329</v>
      </c>
      <c r="B321" s="908"/>
      <c r="C321" s="908"/>
      <c r="D321" s="908"/>
      <c r="E321" s="908"/>
      <c r="F321" s="908"/>
      <c r="G321" s="908"/>
      <c r="H321" s="908"/>
      <c r="I321" s="908"/>
    </row>
    <row r="322" spans="1:9">
      <c r="A322" s="904" t="s">
        <v>212</v>
      </c>
      <c r="B322" s="904"/>
      <c r="C322" s="904"/>
      <c r="D322" s="904"/>
      <c r="E322" s="904"/>
      <c r="F322" s="904"/>
      <c r="G322" s="904"/>
      <c r="H322" s="904" t="s">
        <v>160</v>
      </c>
      <c r="I322" s="904"/>
    </row>
    <row r="323" spans="1:9" ht="15">
      <c r="A323" s="906"/>
      <c r="B323" s="906"/>
      <c r="C323" s="906"/>
      <c r="D323" s="906"/>
      <c r="E323" s="906"/>
      <c r="F323" s="906"/>
      <c r="G323" s="906"/>
      <c r="H323" s="905"/>
      <c r="I323" s="905"/>
    </row>
    <row r="324" spans="1:9">
      <c r="A324" s="907"/>
      <c r="B324" s="907"/>
      <c r="C324" s="907"/>
      <c r="D324" s="907"/>
      <c r="E324" s="907"/>
      <c r="F324" s="907"/>
      <c r="G324" s="907"/>
      <c r="H324" s="905"/>
      <c r="I324" s="905"/>
    </row>
    <row r="325" spans="1:9">
      <c r="A325" s="899"/>
      <c r="B325" s="899"/>
      <c r="C325" s="899"/>
      <c r="D325" s="899"/>
      <c r="E325" s="899"/>
      <c r="F325" s="899"/>
      <c r="G325" s="899"/>
      <c r="H325" s="905"/>
      <c r="I325" s="905"/>
    </row>
  </sheetData>
  <mergeCells count="543">
    <mergeCell ref="A325:G325"/>
    <mergeCell ref="H325:I325"/>
    <mergeCell ref="A318:I318"/>
    <mergeCell ref="A319:I320"/>
    <mergeCell ref="A321:I321"/>
    <mergeCell ref="A322:G322"/>
    <mergeCell ref="H322:I322"/>
    <mergeCell ref="A323:G323"/>
    <mergeCell ref="H323:I323"/>
    <mergeCell ref="A313:I313"/>
    <mergeCell ref="A314:G315"/>
    <mergeCell ref="H314:I315"/>
    <mergeCell ref="A316:G316"/>
    <mergeCell ref="H316:I316"/>
    <mergeCell ref="A317:G317"/>
    <mergeCell ref="H317:I317"/>
    <mergeCell ref="A324:G324"/>
    <mergeCell ref="H324:I324"/>
    <mergeCell ref="A307:F307"/>
    <mergeCell ref="G307:I307"/>
    <mergeCell ref="A308:I308"/>
    <mergeCell ref="A309:F309"/>
    <mergeCell ref="G309:I309"/>
    <mergeCell ref="A310:I310"/>
    <mergeCell ref="A311:F311"/>
    <mergeCell ref="G311:I311"/>
    <mergeCell ref="A312:I312"/>
    <mergeCell ref="A302:C302"/>
    <mergeCell ref="D302:E302"/>
    <mergeCell ref="G302:I302"/>
    <mergeCell ref="A303:E303"/>
    <mergeCell ref="G303:I303"/>
    <mergeCell ref="A304:I304"/>
    <mergeCell ref="A305:E305"/>
    <mergeCell ref="G305:I305"/>
    <mergeCell ref="A306:I306"/>
    <mergeCell ref="A297:E297"/>
    <mergeCell ref="G297:I297"/>
    <mergeCell ref="A298:I298"/>
    <mergeCell ref="A299:C299"/>
    <mergeCell ref="D299:E299"/>
    <mergeCell ref="G299:I299"/>
    <mergeCell ref="A300:E300"/>
    <mergeCell ref="G300:I300"/>
    <mergeCell ref="A301:I301"/>
    <mergeCell ref="A294:C294"/>
    <mergeCell ref="D294:E294"/>
    <mergeCell ref="G294:I294"/>
    <mergeCell ref="A295:C295"/>
    <mergeCell ref="D295:E295"/>
    <mergeCell ref="G295:I295"/>
    <mergeCell ref="A296:C296"/>
    <mergeCell ref="D296:E296"/>
    <mergeCell ref="G296:I296"/>
    <mergeCell ref="A290:C290"/>
    <mergeCell ref="D290:E290"/>
    <mergeCell ref="G290:I290"/>
    <mergeCell ref="A291:C291"/>
    <mergeCell ref="D291:E291"/>
    <mergeCell ref="G291:I291"/>
    <mergeCell ref="A292:E292"/>
    <mergeCell ref="G292:I292"/>
    <mergeCell ref="A293:I293"/>
    <mergeCell ref="A287:C287"/>
    <mergeCell ref="D287:E287"/>
    <mergeCell ref="G287:I287"/>
    <mergeCell ref="A288:C288"/>
    <mergeCell ref="D288:E288"/>
    <mergeCell ref="G288:I288"/>
    <mergeCell ref="A289:C289"/>
    <mergeCell ref="D289:E289"/>
    <mergeCell ref="G289:I289"/>
    <mergeCell ref="A283:C283"/>
    <mergeCell ref="D283:E283"/>
    <mergeCell ref="G283:I283"/>
    <mergeCell ref="A284:E284"/>
    <mergeCell ref="G284:I284"/>
    <mergeCell ref="A285:I285"/>
    <mergeCell ref="A286:C286"/>
    <mergeCell ref="D286:E286"/>
    <mergeCell ref="G286:I286"/>
    <mergeCell ref="A280:C280"/>
    <mergeCell ref="D280:E280"/>
    <mergeCell ref="G280:I280"/>
    <mergeCell ref="A281:C281"/>
    <mergeCell ref="D281:E281"/>
    <mergeCell ref="G281:I281"/>
    <mergeCell ref="A282:C282"/>
    <mergeCell ref="D282:E282"/>
    <mergeCell ref="G282:I282"/>
    <mergeCell ref="A277:C277"/>
    <mergeCell ref="D277:E277"/>
    <mergeCell ref="G277:I277"/>
    <mergeCell ref="A278:C278"/>
    <mergeCell ref="D278:E278"/>
    <mergeCell ref="G278:I278"/>
    <mergeCell ref="A279:C279"/>
    <mergeCell ref="D279:E279"/>
    <mergeCell ref="G279:I279"/>
    <mergeCell ref="A271:B271"/>
    <mergeCell ref="C271:D271"/>
    <mergeCell ref="E271:F271"/>
    <mergeCell ref="G271:I271"/>
    <mergeCell ref="A272:F272"/>
    <mergeCell ref="G272:I272"/>
    <mergeCell ref="A273:I273"/>
    <mergeCell ref="A274:I274"/>
    <mergeCell ref="A275:I276"/>
    <mergeCell ref="A267:H268"/>
    <mergeCell ref="A269:B269"/>
    <mergeCell ref="C269:D269"/>
    <mergeCell ref="E269:F269"/>
    <mergeCell ref="G269:I269"/>
    <mergeCell ref="A270:B270"/>
    <mergeCell ref="C270:D270"/>
    <mergeCell ref="E270:F270"/>
    <mergeCell ref="G270:I270"/>
    <mergeCell ref="D262:E262"/>
    <mergeCell ref="H262:I262"/>
    <mergeCell ref="D263:E263"/>
    <mergeCell ref="H263:I263"/>
    <mergeCell ref="D264:E264"/>
    <mergeCell ref="H264:I264"/>
    <mergeCell ref="A265:G265"/>
    <mergeCell ref="H265:I265"/>
    <mergeCell ref="A266:I266"/>
    <mergeCell ref="A256:I256"/>
    <mergeCell ref="D257:E257"/>
    <mergeCell ref="H257:I257"/>
    <mergeCell ref="D258:E258"/>
    <mergeCell ref="H258:I258"/>
    <mergeCell ref="A259:G259"/>
    <mergeCell ref="H259:I259"/>
    <mergeCell ref="A260:I260"/>
    <mergeCell ref="A261:H261"/>
    <mergeCell ref="A251:G251"/>
    <mergeCell ref="H251:I251"/>
    <mergeCell ref="A252:I252"/>
    <mergeCell ref="D253:E253"/>
    <mergeCell ref="H253:I253"/>
    <mergeCell ref="D254:E254"/>
    <mergeCell ref="H254:I254"/>
    <mergeCell ref="A255:G255"/>
    <mergeCell ref="H255:I255"/>
    <mergeCell ref="A244:F244"/>
    <mergeCell ref="G244:I244"/>
    <mergeCell ref="A245:I245"/>
    <mergeCell ref="A246:I247"/>
    <mergeCell ref="D248:E248"/>
    <mergeCell ref="H248:I248"/>
    <mergeCell ref="D249:E249"/>
    <mergeCell ref="H249:I249"/>
    <mergeCell ref="D250:E250"/>
    <mergeCell ref="H250:I250"/>
    <mergeCell ref="A240:F240"/>
    <mergeCell ref="G240:I240"/>
    <mergeCell ref="A241:I241"/>
    <mergeCell ref="A242:B242"/>
    <mergeCell ref="C242:D242"/>
    <mergeCell ref="E242:F242"/>
    <mergeCell ref="G242:I242"/>
    <mergeCell ref="A243:B243"/>
    <mergeCell ref="C243:D243"/>
    <mergeCell ref="E243:F243"/>
    <mergeCell ref="G243:I243"/>
    <mergeCell ref="A236:F236"/>
    <mergeCell ref="G236:I236"/>
    <mergeCell ref="A237:I237"/>
    <mergeCell ref="A238:B238"/>
    <mergeCell ref="C238:D238"/>
    <mergeCell ref="E238:F238"/>
    <mergeCell ref="G238:I238"/>
    <mergeCell ref="A239:B239"/>
    <mergeCell ref="C239:D239"/>
    <mergeCell ref="E239:F239"/>
    <mergeCell ref="G239:I239"/>
    <mergeCell ref="A232:F232"/>
    <mergeCell ref="G232:I232"/>
    <mergeCell ref="A233:I233"/>
    <mergeCell ref="A234:B234"/>
    <mergeCell ref="C234:D234"/>
    <mergeCell ref="E234:F234"/>
    <mergeCell ref="G234:I234"/>
    <mergeCell ref="A235:B235"/>
    <mergeCell ref="C235:D235"/>
    <mergeCell ref="E235:F235"/>
    <mergeCell ref="G235:I235"/>
    <mergeCell ref="A228:F228"/>
    <mergeCell ref="G228:I228"/>
    <mergeCell ref="A229:I229"/>
    <mergeCell ref="A230:B230"/>
    <mergeCell ref="C230:D230"/>
    <mergeCell ref="E230:F230"/>
    <mergeCell ref="G230:I230"/>
    <mergeCell ref="A231:B231"/>
    <mergeCell ref="C231:D231"/>
    <mergeCell ref="E231:F231"/>
    <mergeCell ref="G231:I231"/>
    <mergeCell ref="A225:I225"/>
    <mergeCell ref="A226:B226"/>
    <mergeCell ref="C226:D226"/>
    <mergeCell ref="E226:F226"/>
    <mergeCell ref="G226:I226"/>
    <mergeCell ref="A227:B227"/>
    <mergeCell ref="C227:D227"/>
    <mergeCell ref="E227:F227"/>
    <mergeCell ref="G227:I227"/>
    <mergeCell ref="A222:B222"/>
    <mergeCell ref="C222:D222"/>
    <mergeCell ref="E222:F222"/>
    <mergeCell ref="G222:I222"/>
    <mergeCell ref="A223:B223"/>
    <mergeCell ref="C223:D223"/>
    <mergeCell ref="E223:F223"/>
    <mergeCell ref="G223:I223"/>
    <mergeCell ref="A224:F224"/>
    <mergeCell ref="G224:I224"/>
    <mergeCell ref="A217:B217"/>
    <mergeCell ref="C217:D217"/>
    <mergeCell ref="E217:F217"/>
    <mergeCell ref="G217:I217"/>
    <mergeCell ref="A218:F218"/>
    <mergeCell ref="G218:I218"/>
    <mergeCell ref="A219:I219"/>
    <mergeCell ref="A220:I220"/>
    <mergeCell ref="A221:B221"/>
    <mergeCell ref="C221:D221"/>
    <mergeCell ref="E221:F221"/>
    <mergeCell ref="G221:I221"/>
    <mergeCell ref="A213:B213"/>
    <mergeCell ref="C213:D213"/>
    <mergeCell ref="E213:F213"/>
    <mergeCell ref="G213:I213"/>
    <mergeCell ref="A214:F214"/>
    <mergeCell ref="G214:I214"/>
    <mergeCell ref="A215:I215"/>
    <mergeCell ref="A216:B216"/>
    <mergeCell ref="C216:D216"/>
    <mergeCell ref="E216:F216"/>
    <mergeCell ref="G216:I216"/>
    <mergeCell ref="A209:B209"/>
    <mergeCell ref="C209:D209"/>
    <mergeCell ref="E209:F209"/>
    <mergeCell ref="G209:I209"/>
    <mergeCell ref="A210:F210"/>
    <mergeCell ref="G210:I210"/>
    <mergeCell ref="A211:I211"/>
    <mergeCell ref="A212:B212"/>
    <mergeCell ref="C212:D212"/>
    <mergeCell ref="E212:F212"/>
    <mergeCell ref="G212:I212"/>
    <mergeCell ref="A205:B205"/>
    <mergeCell ref="C205:D205"/>
    <mergeCell ref="E205:F205"/>
    <mergeCell ref="G205:I205"/>
    <mergeCell ref="A206:F206"/>
    <mergeCell ref="G206:I206"/>
    <mergeCell ref="A207:I207"/>
    <mergeCell ref="A208:B208"/>
    <mergeCell ref="C208:D208"/>
    <mergeCell ref="E208:F208"/>
    <mergeCell ref="G208:I208"/>
    <mergeCell ref="A201:B201"/>
    <mergeCell ref="C201:D201"/>
    <mergeCell ref="E201:F201"/>
    <mergeCell ref="G201:I201"/>
    <mergeCell ref="A202:F202"/>
    <mergeCell ref="G202:I202"/>
    <mergeCell ref="A203:I203"/>
    <mergeCell ref="A204:B204"/>
    <mergeCell ref="C204:D204"/>
    <mergeCell ref="E204:F204"/>
    <mergeCell ref="G204:I204"/>
    <mergeCell ref="A197:B197"/>
    <mergeCell ref="C197:D197"/>
    <mergeCell ref="E197:F197"/>
    <mergeCell ref="G197:I197"/>
    <mergeCell ref="A198:F198"/>
    <mergeCell ref="G198:I198"/>
    <mergeCell ref="A199:I199"/>
    <mergeCell ref="A200:B200"/>
    <mergeCell ref="C200:D200"/>
    <mergeCell ref="E200:F200"/>
    <mergeCell ref="G200:I200"/>
    <mergeCell ref="A193:I193"/>
    <mergeCell ref="A194:I194"/>
    <mergeCell ref="A195:B195"/>
    <mergeCell ref="C195:D195"/>
    <mergeCell ref="E195:F195"/>
    <mergeCell ref="G195:I195"/>
    <mergeCell ref="A196:B196"/>
    <mergeCell ref="C196:D196"/>
    <mergeCell ref="E196:F196"/>
    <mergeCell ref="G196:I196"/>
    <mergeCell ref="A182:H182"/>
    <mergeCell ref="B183:H183"/>
    <mergeCell ref="B184:H184"/>
    <mergeCell ref="B185:H185"/>
    <mergeCell ref="A186:I186"/>
    <mergeCell ref="A187:I187"/>
    <mergeCell ref="A188:I188"/>
    <mergeCell ref="A190:I190"/>
    <mergeCell ref="A191:I191"/>
    <mergeCell ref="A177:B177"/>
    <mergeCell ref="C177:D177"/>
    <mergeCell ref="F177:G177"/>
    <mergeCell ref="A178:B178"/>
    <mergeCell ref="C178:D178"/>
    <mergeCell ref="F178:G178"/>
    <mergeCell ref="A179:H179"/>
    <mergeCell ref="A180:I180"/>
    <mergeCell ref="A181:I181"/>
    <mergeCell ref="A170:H170"/>
    <mergeCell ref="B171:H171"/>
    <mergeCell ref="A172:H172"/>
    <mergeCell ref="A173:I173"/>
    <mergeCell ref="A174:I174"/>
    <mergeCell ref="A175:B175"/>
    <mergeCell ref="C175:D175"/>
    <mergeCell ref="F175:G175"/>
    <mergeCell ref="A176:B176"/>
    <mergeCell ref="C176:D176"/>
    <mergeCell ref="F176:G176"/>
    <mergeCell ref="A161:I161"/>
    <mergeCell ref="A162:I162"/>
    <mergeCell ref="A163:I163"/>
    <mergeCell ref="A164:I164"/>
    <mergeCell ref="A165:H165"/>
    <mergeCell ref="B166:H166"/>
    <mergeCell ref="B167:H167"/>
    <mergeCell ref="B168:H168"/>
    <mergeCell ref="B169:H169"/>
    <mergeCell ref="B152:G152"/>
    <mergeCell ref="B153:G153"/>
    <mergeCell ref="B154:G154"/>
    <mergeCell ref="A155:H155"/>
    <mergeCell ref="A156:I156"/>
    <mergeCell ref="A157:G157"/>
    <mergeCell ref="A158:B160"/>
    <mergeCell ref="C158:I158"/>
    <mergeCell ref="C159:I159"/>
    <mergeCell ref="C160:I160"/>
    <mergeCell ref="B143:G143"/>
    <mergeCell ref="A144:G144"/>
    <mergeCell ref="B145:G145"/>
    <mergeCell ref="A146:G146"/>
    <mergeCell ref="B147:G147"/>
    <mergeCell ref="B148:G148"/>
    <mergeCell ref="B149:G149"/>
    <mergeCell ref="B150:G150"/>
    <mergeCell ref="B151:G151"/>
    <mergeCell ref="B134:H134"/>
    <mergeCell ref="B135:H135"/>
    <mergeCell ref="B136:H136"/>
    <mergeCell ref="B137:H137"/>
    <mergeCell ref="B138:H138"/>
    <mergeCell ref="A139:H139"/>
    <mergeCell ref="A140:I140"/>
    <mergeCell ref="B141:G141"/>
    <mergeCell ref="A142:G142"/>
    <mergeCell ref="B125:H125"/>
    <mergeCell ref="B126:H126"/>
    <mergeCell ref="B127:H127"/>
    <mergeCell ref="A128:H128"/>
    <mergeCell ref="B129:H129"/>
    <mergeCell ref="A130:H130"/>
    <mergeCell ref="A131:I131"/>
    <mergeCell ref="B132:H132"/>
    <mergeCell ref="B133:H133"/>
    <mergeCell ref="B116:H116"/>
    <mergeCell ref="B117:H117"/>
    <mergeCell ref="B118:H118"/>
    <mergeCell ref="A119:H119"/>
    <mergeCell ref="A120:I120"/>
    <mergeCell ref="B121:H121"/>
    <mergeCell ref="B122:H122"/>
    <mergeCell ref="B123:H123"/>
    <mergeCell ref="B124:H124"/>
    <mergeCell ref="B107:H107"/>
    <mergeCell ref="B108:H108"/>
    <mergeCell ref="B109:H109"/>
    <mergeCell ref="A110:H110"/>
    <mergeCell ref="A111:I111"/>
    <mergeCell ref="B112:H112"/>
    <mergeCell ref="B113:H113"/>
    <mergeCell ref="B114:H114"/>
    <mergeCell ref="B115:H115"/>
    <mergeCell ref="A98:I98"/>
    <mergeCell ref="A99:I99"/>
    <mergeCell ref="B100:H100"/>
    <mergeCell ref="B101:H101"/>
    <mergeCell ref="A102:H102"/>
    <mergeCell ref="B103:H103"/>
    <mergeCell ref="A104:H104"/>
    <mergeCell ref="A105:I105"/>
    <mergeCell ref="A106:I106"/>
    <mergeCell ref="B88:G88"/>
    <mergeCell ref="B89:G89"/>
    <mergeCell ref="B90:G90"/>
    <mergeCell ref="B91:G91"/>
    <mergeCell ref="B92:G92"/>
    <mergeCell ref="B93:C93"/>
    <mergeCell ref="B94:G94"/>
    <mergeCell ref="A95:G95"/>
    <mergeCell ref="A97:I97"/>
    <mergeCell ref="B78:H78"/>
    <mergeCell ref="B79:H79"/>
    <mergeCell ref="B80:H80"/>
    <mergeCell ref="A81:H81"/>
    <mergeCell ref="A82:I82"/>
    <mergeCell ref="A83:I83"/>
    <mergeCell ref="A85:I85"/>
    <mergeCell ref="B86:G86"/>
    <mergeCell ref="B87:G87"/>
    <mergeCell ref="B69:H69"/>
    <mergeCell ref="B70:H70"/>
    <mergeCell ref="B71:H71"/>
    <mergeCell ref="A72:I72"/>
    <mergeCell ref="A73:I73"/>
    <mergeCell ref="A74:I74"/>
    <mergeCell ref="A75:I75"/>
    <mergeCell ref="B76:H76"/>
    <mergeCell ref="B77:H77"/>
    <mergeCell ref="B60:H60"/>
    <mergeCell ref="B61:H61"/>
    <mergeCell ref="B62:G62"/>
    <mergeCell ref="B63:G63"/>
    <mergeCell ref="B64:H64"/>
    <mergeCell ref="B65:G65"/>
    <mergeCell ref="B66:H66"/>
    <mergeCell ref="B67:H67"/>
    <mergeCell ref="B68:H68"/>
    <mergeCell ref="A51:I51"/>
    <mergeCell ref="A52:I52"/>
    <mergeCell ref="A53:I53"/>
    <mergeCell ref="A54:I54"/>
    <mergeCell ref="B55:G55"/>
    <mergeCell ref="B56:H56"/>
    <mergeCell ref="B57:G57"/>
    <mergeCell ref="A58:H58"/>
    <mergeCell ref="A59:I59"/>
    <mergeCell ref="A46:I46"/>
    <mergeCell ref="B47:G47"/>
    <mergeCell ref="H47:I47"/>
    <mergeCell ref="B48:D48"/>
    <mergeCell ref="E48:F48"/>
    <mergeCell ref="H48:I48"/>
    <mergeCell ref="B49:G49"/>
    <mergeCell ref="H49:I49"/>
    <mergeCell ref="B50:G50"/>
    <mergeCell ref="H50:I50"/>
    <mergeCell ref="A39:G39"/>
    <mergeCell ref="H39:I39"/>
    <mergeCell ref="A40:I40"/>
    <mergeCell ref="A41:G41"/>
    <mergeCell ref="H41:I41"/>
    <mergeCell ref="A42:I42"/>
    <mergeCell ref="A43:I43"/>
    <mergeCell ref="A44:I44"/>
    <mergeCell ref="A45:I45"/>
    <mergeCell ref="A35:E35"/>
    <mergeCell ref="F35:G35"/>
    <mergeCell ref="H35:I35"/>
    <mergeCell ref="A36:G36"/>
    <mergeCell ref="H36:I36"/>
    <mergeCell ref="A37:I37"/>
    <mergeCell ref="A38:E38"/>
    <mergeCell ref="F38:G38"/>
    <mergeCell ref="H38:I38"/>
    <mergeCell ref="A31:E31"/>
    <mergeCell ref="F31:G31"/>
    <mergeCell ref="H31:I31"/>
    <mergeCell ref="A32:E32"/>
    <mergeCell ref="F32:G32"/>
    <mergeCell ref="H32:I32"/>
    <mergeCell ref="A33:G33"/>
    <mergeCell ref="H33:I33"/>
    <mergeCell ref="A34:I34"/>
    <mergeCell ref="A27:E27"/>
    <mergeCell ref="F27:G27"/>
    <mergeCell ref="H27:I27"/>
    <mergeCell ref="A28:G28"/>
    <mergeCell ref="H28:I28"/>
    <mergeCell ref="A29:I29"/>
    <mergeCell ref="A30:E30"/>
    <mergeCell ref="F30:G30"/>
    <mergeCell ref="H30:I30"/>
    <mergeCell ref="A24:E24"/>
    <mergeCell ref="F24:G24"/>
    <mergeCell ref="H24:I24"/>
    <mergeCell ref="A25:E25"/>
    <mergeCell ref="F25:G25"/>
    <mergeCell ref="H25:I25"/>
    <mergeCell ref="A26:E26"/>
    <mergeCell ref="F26:G26"/>
    <mergeCell ref="H26:I26"/>
    <mergeCell ref="A20:G20"/>
    <mergeCell ref="H20:I20"/>
    <mergeCell ref="A21:I21"/>
    <mergeCell ref="A22:E22"/>
    <mergeCell ref="F22:G22"/>
    <mergeCell ref="H22:I22"/>
    <mergeCell ref="A23:E23"/>
    <mergeCell ref="F23:G23"/>
    <mergeCell ref="H23:I23"/>
    <mergeCell ref="A17:E17"/>
    <mergeCell ref="F17:G17"/>
    <mergeCell ref="H17:I17"/>
    <mergeCell ref="A18:E18"/>
    <mergeCell ref="F18:G18"/>
    <mergeCell ref="H18:I18"/>
    <mergeCell ref="A19:E19"/>
    <mergeCell ref="F19:G19"/>
    <mergeCell ref="H19:I19"/>
    <mergeCell ref="A14:E14"/>
    <mergeCell ref="F14:G14"/>
    <mergeCell ref="H14:I14"/>
    <mergeCell ref="A15:E15"/>
    <mergeCell ref="F15:G15"/>
    <mergeCell ref="H15:I15"/>
    <mergeCell ref="A16:E16"/>
    <mergeCell ref="F16:G16"/>
    <mergeCell ref="H16:I16"/>
    <mergeCell ref="B9:G9"/>
    <mergeCell ref="H9:I9"/>
    <mergeCell ref="B10:G10"/>
    <mergeCell ref="H10:I10"/>
    <mergeCell ref="B11:G11"/>
    <mergeCell ref="H11:I11"/>
    <mergeCell ref="A12:I12"/>
    <mergeCell ref="A13:E13"/>
    <mergeCell ref="F13:G13"/>
    <mergeCell ref="H13:I13"/>
    <mergeCell ref="A2:I2"/>
    <mergeCell ref="A3:I3"/>
    <mergeCell ref="A4:E4"/>
    <mergeCell ref="F4:I4"/>
    <mergeCell ref="A5:E5"/>
    <mergeCell ref="F5:I5"/>
    <mergeCell ref="A6:I6"/>
    <mergeCell ref="A7:I7"/>
    <mergeCell ref="B8:G8"/>
    <mergeCell ref="H8:I8"/>
  </mergeCells>
  <pageMargins left="0.78740157499999996" right="0.78740157499999996" top="0.984251969" bottom="0.984251969" header="0.49212598499999999" footer="0.49212598499999999"/>
  <pageSetup paperSize="9" scale="73" orientation="portrait" horizontalDpi="1200" r:id="rId1"/>
  <headerFooter alignWithMargins="0"/>
  <rowBreaks count="2" manualBreakCount="2">
    <brk id="61" max="8" man="1"/>
    <brk id="11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10</vt:i4>
      </vt:variant>
      <vt:variant>
        <vt:lpstr>Intervalos nomeados</vt:lpstr>
      </vt:variant>
      <vt:variant>
        <vt:i4>6</vt:i4>
      </vt:variant>
    </vt:vector>
  </HeadingPairs>
  <TitlesOfParts>
    <vt:vector size="16" baseType="lpstr">
      <vt:lpstr>REAL</vt:lpstr>
      <vt:lpstr>REAL-BCCPA</vt:lpstr>
      <vt:lpstr>PRESUM</vt:lpstr>
      <vt:lpstr>ANEXO IV</vt:lpstr>
      <vt:lpstr>ANEXO III</vt:lpstr>
      <vt:lpstr>PCFP</vt:lpstr>
      <vt:lpstr>40% Insalub</vt:lpstr>
      <vt:lpstr>REAL-C-VINCULADA 40% 1 serv</vt:lpstr>
      <vt:lpstr>REAL-C-VINCULADA 20% 2 serv</vt:lpstr>
      <vt:lpstr>Plan.Auxiliar</vt:lpstr>
      <vt:lpstr>'40% Insalub'!Area_de_impressao</vt:lpstr>
      <vt:lpstr>'ANEXO III'!Area_de_impressao</vt:lpstr>
      <vt:lpstr>'ANEXO IV'!Area_de_impressao</vt:lpstr>
      <vt:lpstr>PRESUM!Area_de_impressao</vt:lpstr>
      <vt:lpstr>REAL!Area_de_impressao</vt:lpstr>
      <vt:lpstr>'REAL-BCCPA'!Area_de_impressao</vt:lpstr>
    </vt:vector>
  </TitlesOfParts>
  <Company>Ministerio da Fazenda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Secretaria da Receita Federal</dc:creator>
  <cp:lastModifiedBy>..</cp:lastModifiedBy>
  <cp:lastPrinted>2015-10-23T12:56:15Z</cp:lastPrinted>
  <dcterms:created xsi:type="dcterms:W3CDTF">2008-06-13T13:15:31Z</dcterms:created>
  <dcterms:modified xsi:type="dcterms:W3CDTF">2017-08-14T21:53:34Z</dcterms:modified>
</cp:coreProperties>
</file>